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817" firstSheet="19" activeTab="26"/>
  </bookViews>
  <sheets>
    <sheet name="Комсомольский 1" sheetId="1" r:id="rId1"/>
    <sheet name="Комсомольский 2" sheetId="2" r:id="rId2"/>
    <sheet name="Комсомольский 4" sheetId="3" r:id="rId3"/>
    <sheet name="Комсомольский 6" sheetId="4" r:id="rId4"/>
    <sheet name="Комсомольский 9" sheetId="5" r:id="rId5"/>
    <sheet name="Комсомольский 12" sheetId="6" r:id="rId6"/>
    <sheet name="Комсомольский 18" sheetId="7" r:id="rId7"/>
    <sheet name="Комсомольский 20" sheetId="8" r:id="rId8"/>
    <sheet name="Комсомольский 22" sheetId="9" r:id="rId9"/>
    <sheet name="Комсомольский 24" sheetId="10" r:id="rId10"/>
    <sheet name="Комсомольский 26" sheetId="11" r:id="rId11"/>
    <sheet name="Комсомольский 28" sheetId="12" r:id="rId12"/>
    <sheet name="Комсомольский 30" sheetId="13" r:id="rId13"/>
    <sheet name="Комсомольский 32" sheetId="14" r:id="rId14"/>
    <sheet name="Комсомольский 34" sheetId="15" r:id="rId15"/>
    <sheet name="Комсомольский 36" sheetId="16" r:id="rId16"/>
    <sheet name="Мира 2" sheetId="17" r:id="rId17"/>
    <sheet name="Мира 4" sheetId="18" r:id="rId18"/>
    <sheet name="Мира 6" sheetId="19" r:id="rId19"/>
    <sheet name="Мира 8" sheetId="20" r:id="rId20"/>
    <sheet name="Мира 10" sheetId="21" r:id="rId21"/>
    <sheet name="Мира 12" sheetId="22" r:id="rId22"/>
    <sheet name="Мира 13" sheetId="23" r:id="rId23"/>
    <sheet name="Мира 14" sheetId="24" r:id="rId24"/>
    <sheet name="Мира 15" sheetId="25" r:id="rId25"/>
    <sheet name="Мира 18" sheetId="26" r:id="rId26"/>
    <sheet name="Мира 22" sheetId="27" r:id="rId27"/>
    <sheet name="Мира 24" sheetId="28" r:id="rId28"/>
    <sheet name="Мира 26" sheetId="29" r:id="rId29"/>
    <sheet name="Мира 28" sheetId="30" r:id="rId30"/>
    <sheet name="Мира 30" sheetId="31" r:id="rId31"/>
    <sheet name="Мира 32" sheetId="32" r:id="rId32"/>
    <sheet name="Мира 34" sheetId="33" r:id="rId33"/>
    <sheet name="Мира 36" sheetId="34" r:id="rId34"/>
    <sheet name="Лесная 12" sheetId="35" r:id="rId35"/>
    <sheet name="Лесная 14" sheetId="36" r:id="rId36"/>
    <sheet name="Амурская 12" sheetId="37" r:id="rId37"/>
    <sheet name="Амурская 14" sheetId="38" r:id="rId38"/>
    <sheet name="Амурская 16" sheetId="39" r:id="rId39"/>
    <sheet name="Лист1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<sst xmlns="http://schemas.openxmlformats.org/spreadsheetml/2006/main" count="10775" uniqueCount="2511">
  <si>
    <t>Профосмотры</t>
  </si>
  <si>
    <t>Ремонт подвального освещения</t>
  </si>
  <si>
    <t>справка</t>
  </si>
  <si>
    <t>№10/01</t>
  </si>
  <si>
    <t>№11/01</t>
  </si>
  <si>
    <t>№47/12</t>
  </si>
  <si>
    <t>№39/01</t>
  </si>
  <si>
    <t>№62/02</t>
  </si>
  <si>
    <t>№26/02</t>
  </si>
  <si>
    <t>№17/02</t>
  </si>
  <si>
    <t>№03/02</t>
  </si>
  <si>
    <t>№70/03</t>
  </si>
  <si>
    <t>№69/03</t>
  </si>
  <si>
    <t>№59/03</t>
  </si>
  <si>
    <t>№57/03</t>
  </si>
  <si>
    <t>№55/03</t>
  </si>
  <si>
    <t>№28/03</t>
  </si>
  <si>
    <t>№04/03</t>
  </si>
  <si>
    <t>№03/03</t>
  </si>
  <si>
    <t>Смена манжеты на канализационных трубах - кв. 71</t>
  </si>
  <si>
    <t>Очистка канализации - подвал</t>
  </si>
  <si>
    <t>Замена трубы ПВХ, установка тройника, муфты, прехода, пробивка перекрытия - кв.65, 69</t>
  </si>
  <si>
    <t>№18/02</t>
  </si>
  <si>
    <t>№256/10</t>
  </si>
  <si>
    <t>Замена стояка канал.через перекрытие кв.32</t>
  </si>
  <si>
    <t>Очистка канал.сети подвал</t>
  </si>
  <si>
    <t>№29/07</t>
  </si>
  <si>
    <t xml:space="preserve">Замена задвижки по ХВ в подвале </t>
  </si>
  <si>
    <t>Промазка примыканий мастикой  кв.20</t>
  </si>
  <si>
    <t>№25/08</t>
  </si>
  <si>
    <t>Сантехнические работы 1 под-д</t>
  </si>
  <si>
    <t>№29/08</t>
  </si>
  <si>
    <t>Установка полотен 4 п.</t>
  </si>
  <si>
    <t>№42/08</t>
  </si>
  <si>
    <t>Отчет ООО УК "Наш дом" по выполненным работам за 2011г. по адресу пр. Комсомольский,36</t>
  </si>
  <si>
    <t>№66/05</t>
  </si>
  <si>
    <t>№35/05</t>
  </si>
  <si>
    <t>№04/05</t>
  </si>
  <si>
    <t>№11/06</t>
  </si>
  <si>
    <t>№08/06</t>
  </si>
  <si>
    <t>№57/07</t>
  </si>
  <si>
    <t>№46/07</t>
  </si>
  <si>
    <t>№31/07</t>
  </si>
  <si>
    <t>№24/07</t>
  </si>
  <si>
    <t>заделка перекрытий кв.19</t>
  </si>
  <si>
    <t>замена замка 1п.</t>
  </si>
  <si>
    <t>ремонт окон.проема ,залож.кирпич.2п.</t>
  </si>
  <si>
    <t>закреплен зонт на вент.камере кв.40</t>
  </si>
  <si>
    <t>прибит навес на тамбурн.дверь 4п.</t>
  </si>
  <si>
    <t>навеска замка - 4 п.</t>
  </si>
  <si>
    <t>навеска замка элеватор</t>
  </si>
  <si>
    <t>установка дверных приборов кв.20</t>
  </si>
  <si>
    <t>№13/07</t>
  </si>
  <si>
    <t>№07/07</t>
  </si>
  <si>
    <t>№02/08</t>
  </si>
  <si>
    <t>№04/08</t>
  </si>
  <si>
    <t>№12/08</t>
  </si>
  <si>
    <t>май</t>
  </si>
  <si>
    <t>ВДГО</t>
  </si>
  <si>
    <t>Вывоз и захоронение ТБО</t>
  </si>
  <si>
    <t>Итого:</t>
  </si>
  <si>
    <t>№09/01</t>
  </si>
  <si>
    <t>Замена канализ. Стояка кв.51</t>
  </si>
  <si>
    <t>Сантехнические работы</t>
  </si>
  <si>
    <t>№23/01</t>
  </si>
  <si>
    <t>Заделка перекрытия кв.43, установление пружины 2 подвал</t>
  </si>
  <si>
    <t>№04/01</t>
  </si>
  <si>
    <t>Прочистка дворовой территории трактором МТЗ - 82, бульдозером ДТ - 75</t>
  </si>
  <si>
    <t>№47/01</t>
  </si>
  <si>
    <t>Дезинсекция и дератизация подвала</t>
  </si>
  <si>
    <t>Подмотка радиаторных пробок -кв. 82</t>
  </si>
  <si>
    <t>Перепускание стояка отопления через подвал - кв. 38</t>
  </si>
  <si>
    <t>Ремонт подъезда - № 2</t>
  </si>
  <si>
    <t>Ремонт этажн.освещен., установка выключателей - 86, 46, 78, 73</t>
  </si>
  <si>
    <t>прибит навес на тамбурн.дверь 4 п.</t>
  </si>
  <si>
    <t>Демонтаж вентилей - кв. 48, пробивка в бетонных стенах и полах отверстий - кв. 101</t>
  </si>
  <si>
    <t>закрыт. задвиж.</t>
  </si>
  <si>
    <t>Сброс и наполнение стояков, вваривание резьбы кв 62</t>
  </si>
  <si>
    <t>Установка дверных приборов 4 п,</t>
  </si>
  <si>
    <t>№59/01</t>
  </si>
  <si>
    <t>Очистка канализационной сети - подвал</t>
  </si>
  <si>
    <t>Обшивка штрабы ДСП 2п.</t>
  </si>
  <si>
    <t>Ремонт двери 5п.</t>
  </si>
  <si>
    <t>№40/01</t>
  </si>
  <si>
    <t>Прочистка вент. каналов кв.64,48,95</t>
  </si>
  <si>
    <t>№10/89</t>
  </si>
  <si>
    <t>Монтаж</t>
  </si>
  <si>
    <t>№89/02</t>
  </si>
  <si>
    <t>Очистка дворовых территорий от снега -трактор, бульдозер</t>
  </si>
  <si>
    <t>Сброс и наполнение стояков кв.34</t>
  </si>
  <si>
    <t>Отогревание стояков кв.4</t>
  </si>
  <si>
    <t>№05/03</t>
  </si>
  <si>
    <t>Демонтаж осветительных приборов 3-6 под-ды</t>
  </si>
  <si>
    <t>№46/04</t>
  </si>
  <si>
    <t>Очистка канализационной сети - внутренней</t>
  </si>
  <si>
    <t>№05/04</t>
  </si>
  <si>
    <t>Ремонт освещения   1-2 под-ды</t>
  </si>
  <si>
    <t>№73/05</t>
  </si>
  <si>
    <t>Замена розлива отопления</t>
  </si>
  <si>
    <t>Автомат одно-двух-трехполюсный кв.89,69</t>
  </si>
  <si>
    <t>№16/05</t>
  </si>
  <si>
    <t>Очистка канализ. Сети - внутренней</t>
  </si>
  <si>
    <t>№30/06</t>
  </si>
  <si>
    <t>№29/06</t>
  </si>
  <si>
    <t>№71/07</t>
  </si>
  <si>
    <t>№63/07</t>
  </si>
  <si>
    <t>Монтаж выключателей, кв.78</t>
  </si>
  <si>
    <t>№77/09</t>
  </si>
  <si>
    <t>Демонтаж вставкодержателей (ВРУ)</t>
  </si>
  <si>
    <t>№40/09</t>
  </si>
  <si>
    <t>Покос травы</t>
  </si>
  <si>
    <t>№38/09</t>
  </si>
  <si>
    <t>Установка рам, остекление 2 под-д</t>
  </si>
  <si>
    <t>№85/10</t>
  </si>
  <si>
    <t>ремонт водосточных труб</t>
  </si>
  <si>
    <t>№254/10</t>
  </si>
  <si>
    <t>№175/10</t>
  </si>
  <si>
    <t>Демонтаж выключателя - 2 под-д</t>
  </si>
  <si>
    <t>№161/10</t>
  </si>
  <si>
    <t>Очистка канализ.сети 4-6 п-ды</t>
  </si>
  <si>
    <t>№136/10</t>
  </si>
  <si>
    <t>Отчет ООО УК "Наш дом" по выполненным работам за 2011г. по адресу пр. Комсомольский,6</t>
  </si>
  <si>
    <t>Отчет ООО УК "Наш дом" по выполненным работам за 2011г. по адресу пр. Комсомольский,9</t>
  </si>
  <si>
    <t>Замена п/сушит.- кв. 19; закольцовка стояка г/в - кв.5; прочие</t>
  </si>
  <si>
    <t>Перезапуск стояка отопления через подвал - кв. 55, 59;  кв. 2</t>
  </si>
  <si>
    <t>Обшивка двери оргалитом 1 п.</t>
  </si>
  <si>
    <t>№31/01</t>
  </si>
  <si>
    <t>Сброс и наполнение стояков ХВС, ГВС</t>
  </si>
  <si>
    <t>№75/02</t>
  </si>
  <si>
    <t>Очистка канализационной сети 4 п.</t>
  </si>
  <si>
    <t>№42/02</t>
  </si>
  <si>
    <t>Замена ПВХ, ревизия к трубам кв.23</t>
  </si>
  <si>
    <t xml:space="preserve">Прочистка вентиляционных каналов кв.16 </t>
  </si>
  <si>
    <t>№59/02</t>
  </si>
  <si>
    <t>Навеска замка 1 п.</t>
  </si>
  <si>
    <t>№34/03</t>
  </si>
  <si>
    <t>Переразделка провода</t>
  </si>
  <si>
    <t>№66/04</t>
  </si>
  <si>
    <t>Ликвидация воздушных пробок в стояках кв.21,22,61,64,23</t>
  </si>
  <si>
    <t>№38/04</t>
  </si>
  <si>
    <t>Прочистка вентиляционных каналов - кв. 15</t>
  </si>
  <si>
    <t>очистка канализ.сети кв.18</t>
  </si>
  <si>
    <t>№166/09</t>
  </si>
  <si>
    <t>промывка систем отопления</t>
  </si>
  <si>
    <t>Санитарное обслуживание дома</t>
  </si>
  <si>
    <t>Ревизия вентилей, задвижек</t>
  </si>
  <si>
    <t>Ревизия вентилей, задвижек - 2, 3 элеватор; смена внутр. Трубопроводов - кв. 48, 51</t>
  </si>
  <si>
    <t>Смена отводов из стальных труб - кв. 30</t>
  </si>
  <si>
    <t>Смена радиаторных пробок - кв. 3</t>
  </si>
  <si>
    <t>Продмотка радиаторных пробок - кв. 90</t>
  </si>
  <si>
    <t>№49/07</t>
  </si>
  <si>
    <t>Ремонт шиферной кровли - кв. 57</t>
  </si>
  <si>
    <t>Завоз песка</t>
  </si>
  <si>
    <t>Смена внутр. трубопроводов - кв. 115; ревизия вентилей - 1, 2 блок, кв. 129</t>
  </si>
  <si>
    <t>Ревизия задвижек - 1, 2, 3, 4 элеваторы</t>
  </si>
  <si>
    <t>Разборка и сборка элеватора</t>
  </si>
  <si>
    <t>Прочистка засоров ХВС, ГВС - кв. 5</t>
  </si>
  <si>
    <t>Установка вентилей, ревизия задвижек - элеватор</t>
  </si>
  <si>
    <t>Ревизия задвижек, ревизия вентилей - элеватор</t>
  </si>
  <si>
    <t>Смена задвижек  - элеватор</t>
  </si>
  <si>
    <t>Смена задвижек - 4 подвал</t>
  </si>
  <si>
    <t>Установка венталей - элеватор</t>
  </si>
  <si>
    <t>Ревизия задвижек, вентилей - 3 блок</t>
  </si>
  <si>
    <t>№30/07</t>
  </si>
  <si>
    <t>Смена трубопроводов-  кв. 39; установка вентилей - кв. 60</t>
  </si>
  <si>
    <t>Ревизия задвижек, вентилей - 1, 2 эл.</t>
  </si>
  <si>
    <t>Ревизия вентилей - кв.48</t>
  </si>
  <si>
    <t>Ревизия задвижек - 1, 2; водоотлив из подвала - 3 блок</t>
  </si>
  <si>
    <t>Смена внутр. трубопроводов, вентилей - подвал</t>
  </si>
  <si>
    <t>Замена прокладок на фланцевых соединениях труб - 1 эл.</t>
  </si>
  <si>
    <t>Смена радиаторных пробок, сгонов - кв. 4</t>
  </si>
  <si>
    <t>Демонтаж, установка унитаза - кв. 51</t>
  </si>
  <si>
    <t>Замеры температуры в элеваторе</t>
  </si>
  <si>
    <t>Заделка отверстий в перекрытиях - кв. 82, 58, 78</t>
  </si>
  <si>
    <t>Смена стекол - 2 п.</t>
  </si>
  <si>
    <t>заделка отверстий в перекрытиях - кв. 44</t>
  </si>
  <si>
    <t>Промазка кровельной мастикой канал-ой трубы - кв. 18</t>
  </si>
  <si>
    <t>Укрепление оконных и дверных коробок - кв. 68</t>
  </si>
  <si>
    <t>Смена стекол - 5 п.</t>
  </si>
  <si>
    <t>Прочистка дворовой территории трактором МТЗ - 82</t>
  </si>
  <si>
    <t>№26/04</t>
  </si>
  <si>
    <t>Сантехнические работы  кв.43</t>
  </si>
  <si>
    <t>№18/04</t>
  </si>
  <si>
    <t xml:space="preserve">Вваривание резьбы </t>
  </si>
  <si>
    <t>№16/04</t>
  </si>
  <si>
    <t>Очистка канализ.сети</t>
  </si>
  <si>
    <t>Навеска замка 4п.</t>
  </si>
  <si>
    <t>монтаж отключающих устройств(выкл.нагрузок) кв.49,55,61,79</t>
  </si>
  <si>
    <t>Замена сборок по отоплению, подвал</t>
  </si>
  <si>
    <t>Почист.канализац.ст.на крыше</t>
  </si>
  <si>
    <t>Справка-расчет</t>
  </si>
  <si>
    <t>замеры температ.режима в элеваторн.узле</t>
  </si>
  <si>
    <t>справка-расчет</t>
  </si>
  <si>
    <t>Замеры температурн.режима в элеваторн.узле</t>
  </si>
  <si>
    <t>Замеры температ.режима в элеваторн.узле</t>
  </si>
  <si>
    <t>Очистка крыши спуска в подвал от снега</t>
  </si>
  <si>
    <t xml:space="preserve">Справка </t>
  </si>
  <si>
    <t xml:space="preserve">справка </t>
  </si>
  <si>
    <t>№139/02</t>
  </si>
  <si>
    <t>Замена трассы ХВС</t>
  </si>
  <si>
    <t>Прочистка вент. каналов - кв. 65</t>
  </si>
  <si>
    <t>Прочистка вент. каналов - кв. 27, 34, 32</t>
  </si>
  <si>
    <t>№27/02</t>
  </si>
  <si>
    <t>Заделка подвальных окон досками - 3 п.; установка проушины под замок - 1 п.</t>
  </si>
  <si>
    <t>Заделка перекрытия - кв. 61</t>
  </si>
  <si>
    <t>№76/11</t>
  </si>
  <si>
    <t>№97/11</t>
  </si>
  <si>
    <t>Уборка снега</t>
  </si>
  <si>
    <t>№105/12</t>
  </si>
  <si>
    <t>№104/12</t>
  </si>
  <si>
    <t>Очистка канализационной сети: внутренней - кв. 12, 1, 20, 91 89</t>
  </si>
  <si>
    <t>Прочистка вент. каналов - кв. 24</t>
  </si>
  <si>
    <t>Прочистка вент. каналов  - кв. 24, 32</t>
  </si>
  <si>
    <t>Прочистка вент. каналов - кв. 28</t>
  </si>
  <si>
    <t>№19/12</t>
  </si>
  <si>
    <t>Подмотка радиаторных пробок</t>
  </si>
  <si>
    <t>Перепустили стояк отопления через подвал кв.14,15</t>
  </si>
  <si>
    <t>Замена стояков по отоплению</t>
  </si>
  <si>
    <t>Перепустили стояк отопления, п/сушит. Через подвал кв. 28</t>
  </si>
  <si>
    <t>№43/05</t>
  </si>
  <si>
    <t>Замена стояков отопления -2 блок</t>
  </si>
  <si>
    <t>Ремонт стоячной разводки</t>
  </si>
  <si>
    <t>№37/05</t>
  </si>
  <si>
    <t>Вывоз веток с к/площадки</t>
  </si>
  <si>
    <t>Замена канализационного стояка кв. 9</t>
  </si>
  <si>
    <t>Очистка канализационной сети: внутренней - 1блок</t>
  </si>
  <si>
    <t>№31/05</t>
  </si>
  <si>
    <t>Ремонт стоячной разводки - 2 под.</t>
  </si>
  <si>
    <t>№26/05</t>
  </si>
  <si>
    <t>№28/05</t>
  </si>
  <si>
    <t>Заваривание свища на стояке гор. воды - кв. 1; демонтаж трубопроводов - кв. 32; промывка стояка - кв. 12</t>
  </si>
  <si>
    <t>Заглушили разводку холодной, горячей воды - кв. 18, 19</t>
  </si>
  <si>
    <t>№80/03</t>
  </si>
  <si>
    <t>Уборка подвалов, вывоз мусора</t>
  </si>
  <si>
    <t>№62/03</t>
  </si>
  <si>
    <t>№45/03</t>
  </si>
  <si>
    <t>Замена сборки на стояке х/в в подвале, заваривание отвода в подвале на стояке х/воды, установка сгона, вентилей</t>
  </si>
  <si>
    <t>Сброс и наполнение стояков ХВС, ГВС, установка вентилей, смена сгонов - 1 блок</t>
  </si>
  <si>
    <t>Замена отвода до вентиля - кв. 113, замена сборки - кв. 11</t>
  </si>
  <si>
    <t>Замена части стояка холодной воды в подвале - кв. 75, ревизия сборки - элеватор</t>
  </si>
  <si>
    <t>Перемотка подводки к батареи - кв. 19</t>
  </si>
  <si>
    <t>№05/02</t>
  </si>
  <si>
    <t>ООО Пирамида</t>
  </si>
  <si>
    <t>Работы по усилению балкона кв.34</t>
  </si>
  <si>
    <t>Установка балкона кв.115</t>
  </si>
  <si>
    <t>Валка и обрезка деревьев</t>
  </si>
  <si>
    <t>Смена сгонов, вентилей - 1 п.</t>
  </si>
  <si>
    <t>№153/10</t>
  </si>
  <si>
    <t>Устранение свища на трубопроводе - 1 бл.;откачка воды из подвала-3 бл.</t>
  </si>
  <si>
    <t>№152/10</t>
  </si>
  <si>
    <t>Заделка подвальных окон - 2 п.</t>
  </si>
  <si>
    <t>№20/07</t>
  </si>
  <si>
    <t>ремонт подъезда 4</t>
  </si>
  <si>
    <t>№16/07</t>
  </si>
  <si>
    <t>изготовление,монтаж ограждений контейнерной площадки</t>
  </si>
  <si>
    <t>Внутридомовое газовое обслуживание</t>
  </si>
  <si>
    <t>Затраты на МУП "АРКЦ", ООО УК "Наш дом"</t>
  </si>
  <si>
    <t>ВСЕГО работ по содержанию и ремонту за 2010г.</t>
  </si>
  <si>
    <t>Начислено:содержание и текущий ремонт за 2011г.</t>
  </si>
  <si>
    <t>Начислено: капитальный ремонт за 2011г.</t>
  </si>
  <si>
    <t>Оплачено: содержание и текущий ремонт за 2011г.</t>
  </si>
  <si>
    <t>Оплачено: капитальный ремонт и найм за 2011г.</t>
  </si>
  <si>
    <t>Задолженность перед УК по выполненным работам по содержанию и ремонту (по факту на 31.10.2011г.</t>
  </si>
  <si>
    <t>Задолженность жильцов: содержание и текущий ремонт (по начислению) по состоянию на 31.10.11.</t>
  </si>
  <si>
    <t>Задолженность жильцов: капитальный ремонт (по начислению) по состоянию на 31.10.11г.</t>
  </si>
  <si>
    <t>Замена части канал-го стояка, чистка стояка, установка муфты - кв. 34</t>
  </si>
  <si>
    <t>№ 42/01</t>
  </si>
  <si>
    <t xml:space="preserve">Очистка канализации </t>
  </si>
  <si>
    <t>№40/12</t>
  </si>
  <si>
    <t xml:space="preserve">восстановление спуска в подвал </t>
  </si>
  <si>
    <t>№68/06</t>
  </si>
  <si>
    <t>Ремонт освещения элеваторных узлов</t>
  </si>
  <si>
    <t>№ 50/01</t>
  </si>
  <si>
    <t>Кирпичная кладка - подвал</t>
  </si>
  <si>
    <t>№ 59/01</t>
  </si>
  <si>
    <t>Очистка канализационной сети: внутренней</t>
  </si>
  <si>
    <t>№ 60/01</t>
  </si>
  <si>
    <t>Сброс и наполнение стояков ХВС, ГВС, временная заделка свищей и трещин на внутренних трубопроводах и стояках - 1 блок</t>
  </si>
  <si>
    <t>№ 66/01</t>
  </si>
  <si>
    <t>Прочистка вентиляционных каналов, кв. 85 (3 эт.)</t>
  </si>
  <si>
    <t>Прочистка вентиляционных каналов, кв. 20 (5 эт.)</t>
  </si>
  <si>
    <t>Установка подъездных указателей квартир</t>
  </si>
  <si>
    <t>Установка аншлагов</t>
  </si>
  <si>
    <t>Установка почтовых ящиков - 6,7 п.</t>
  </si>
  <si>
    <t>Замена стояка х/в кв.47</t>
  </si>
  <si>
    <t>Ревизия вентилей х/в кв.10</t>
  </si>
  <si>
    <t>Замена прокладки ГВС -подвал</t>
  </si>
  <si>
    <t>Замеры давления ГВС-подвал</t>
  </si>
  <si>
    <t>прочистка канализации до колодца -подвал</t>
  </si>
  <si>
    <t>Прочистка канализации -подвал</t>
  </si>
  <si>
    <t>Замена тройника стояка канализац.кв.30,31</t>
  </si>
  <si>
    <t>№51/05</t>
  </si>
  <si>
    <t>№156/10</t>
  </si>
  <si>
    <t>№16/12</t>
  </si>
  <si>
    <t>Замер температурного режима</t>
  </si>
  <si>
    <t>Заделка подвального окна</t>
  </si>
  <si>
    <t>справка №6</t>
  </si>
  <si>
    <t>справка №3</t>
  </si>
  <si>
    <t>смена канализационного стояка кв. 24, банк - чистка канализации</t>
  </si>
  <si>
    <t>смена стояка кв 55, очистка канализации - подвал</t>
  </si>
  <si>
    <t>№ 61/01</t>
  </si>
  <si>
    <t>№61/01</t>
  </si>
  <si>
    <t>Прочистка вентиляционных каналов, кв. 18 (5 эт.)</t>
  </si>
  <si>
    <t>Смена внутр. трубопроводов - подвал</t>
  </si>
  <si>
    <t>Смена задвижек - 2 блок</t>
  </si>
  <si>
    <t>Смена внутр. трубопроводов -  подвал</t>
  </si>
  <si>
    <t>Замена канализ-го стояка - кв. 63</t>
  </si>
  <si>
    <t>Очистка канализационной сети: внутренней - подвал</t>
  </si>
  <si>
    <t>Переборка полиэтиленовых канал-ых труб - подвал</t>
  </si>
  <si>
    <t>Очистка канализац. сети - подвал</t>
  </si>
  <si>
    <t>Очистка канализационной сети: внутренней - 1 п.</t>
  </si>
  <si>
    <t>Замена канал-го стояка - кв. 105</t>
  </si>
  <si>
    <t>№36/07</t>
  </si>
  <si>
    <t>№08/07</t>
  </si>
  <si>
    <t>Очистка канализационной сети: внутренней - кв. 16, 20, 1 блок</t>
  </si>
  <si>
    <t>Очистка канализационной сети: внутренней - 4 п.</t>
  </si>
  <si>
    <t>Очистка канализационной сети: внутренней - 2 блок</t>
  </si>
  <si>
    <t>Очистка канализационной сети: внутренней - 3 блок</t>
  </si>
  <si>
    <t>Очистка канализационной сети: внутренней - 1 блок</t>
  </si>
  <si>
    <t xml:space="preserve">Очистка канализационной сети: внутренней </t>
  </si>
  <si>
    <t>Замена канализационного стояка, снятие, установка см/бачка - кв. 21</t>
  </si>
  <si>
    <t>Замена канализационного стояка - кв. 32</t>
  </si>
  <si>
    <t>№07/03</t>
  </si>
  <si>
    <t>№13/03</t>
  </si>
  <si>
    <t>Забивка двери оргалитом - 2 п.</t>
  </si>
  <si>
    <t>очистка канализации 5под.</t>
  </si>
  <si>
    <t>Очистка канализационной сети внутр. - кв.103, 5, 6 п.; прочистка вент. каналов - кв. 31</t>
  </si>
  <si>
    <t>№168/10</t>
  </si>
  <si>
    <t>Ремонт питающей сети</t>
  </si>
  <si>
    <t>№157/10</t>
  </si>
  <si>
    <t>Замена стояка канал- ии; перепустили стояк отопления - кв. 1, 56</t>
  </si>
  <si>
    <t>№163/10</t>
  </si>
  <si>
    <t>№253/10</t>
  </si>
  <si>
    <t>Перепущен стояк п/сушит. через подвал- кв.21,31,22;чистка вент. каналов-кв.37; замена части стояка отопл-я-кв.18</t>
  </si>
  <si>
    <t>№146/10</t>
  </si>
  <si>
    <t xml:space="preserve">Замеры давления и температуры по элеватору </t>
  </si>
  <si>
    <t>№159/10</t>
  </si>
  <si>
    <t>Перепустили стояк отопления - кв. 14, 38; замена подводки к п/ сушителю - кв. 51</t>
  </si>
  <si>
    <t>№267/10</t>
  </si>
  <si>
    <t>Смена сгонов, радиаторных пробок - кв 28</t>
  </si>
  <si>
    <t>№259/10</t>
  </si>
  <si>
    <t>Прочистка вент. каналов-кв.72,90, смена вент-ей -6п.</t>
  </si>
  <si>
    <t>№268/10</t>
  </si>
  <si>
    <t>Смена внутр. трубопроводов - кв. 38</t>
  </si>
  <si>
    <t>Перепустили стояк - кв.10; замена стояка канал - ии - кв.37</t>
  </si>
  <si>
    <t>№262/10</t>
  </si>
  <si>
    <t>Перепущен стояк отопл.-кв.53; замена стояка канал-ии-кв.20</t>
  </si>
  <si>
    <t>№269/10</t>
  </si>
  <si>
    <t>Спущен воздух на ст. отопл.-кв.90,94,82; установка вент-й-кв.73</t>
  </si>
  <si>
    <t>Перепущен стояк п/сушит. - кв. 8; замена стояка канал-и - кв.75</t>
  </si>
  <si>
    <t>№271/10</t>
  </si>
  <si>
    <t>Прочистка вентиляционых каналов - кв. 33,35</t>
  </si>
  <si>
    <t>Прочистка вентиляционых каналов - кв. 28</t>
  </si>
  <si>
    <t>Прочистка вентиляционых каналов - кв.29</t>
  </si>
  <si>
    <t>Прочистка вентиляционых каналов - кв. 4</t>
  </si>
  <si>
    <t>Прочистка вентиляционых каналов - кв.71</t>
  </si>
  <si>
    <t>в т.ч. техническое обслуживание</t>
  </si>
  <si>
    <t>пр. Мира, 22</t>
  </si>
  <si>
    <t>Исполнитель Сухова Г.М.</t>
  </si>
  <si>
    <t>пр. Мира, 18</t>
  </si>
  <si>
    <t>№11/80</t>
  </si>
  <si>
    <t>Установка пружин,укрепление тамбура</t>
  </si>
  <si>
    <t>№11/79</t>
  </si>
  <si>
    <t>Изготовление решеток,контейнерная площадка</t>
  </si>
  <si>
    <t>№11/67</t>
  </si>
  <si>
    <t>Замена чугунной трубы,кв.2</t>
  </si>
  <si>
    <t>№11/66</t>
  </si>
  <si>
    <t>демонтаж чугунной трубы,кв.40</t>
  </si>
  <si>
    <t>№22/11</t>
  </si>
  <si>
    <t>Ремонт внутренней поверхности кирпичных стен, обшивка каркасных стен, установка неостекл. оконных переплетов - 4 п.; обшивка окна оргалитом</t>
  </si>
  <si>
    <t>Установка стекол в деревянных переплетах - 1 п.; установка дверных приборов - 2 п.</t>
  </si>
  <si>
    <t>Навеска замка, установка дверных приборов, установка полотен, петля накладная - 2 блок; забивка двери - кв. 11</t>
  </si>
  <si>
    <t>Ремонт двери, становка дверных приборов</t>
  </si>
  <si>
    <t>Заделка поддвальных окон ДСП б/у - 1 п.</t>
  </si>
  <si>
    <t>Ремонт двери, установка дверныхприборов - 2 п.</t>
  </si>
  <si>
    <t>Ремонт двери - 5п.</t>
  </si>
  <si>
    <t>Установка дверных пиборов - 1 п.</t>
  </si>
  <si>
    <t>Очистка канализационной сети внутр. - кв. 1, 6 п.</t>
  </si>
  <si>
    <t>Прочистка вентиляционных каналов - кв. 40 (5эт.)</t>
  </si>
  <si>
    <t>Очистка канализационной сети внутр. - кв. 24 (2 эт.)</t>
  </si>
  <si>
    <t>№ 48/02</t>
  </si>
  <si>
    <t>Смена вентилей - кв. 40</t>
  </si>
  <si>
    <t>Сброс и наполнение стояков ХВС, ГВС, вваривание резьбы - кв. 21</t>
  </si>
  <si>
    <t>Сброс и наполнение стояков ХВС, ГВС, смена сгонов, вваривание резьбы установка вентилей - подвал</t>
  </si>
  <si>
    <t>Сброс и наполнение стояков ХВС, ГВС, ревизия вентилей - кв. 77</t>
  </si>
  <si>
    <t>Ревизия вентилей - кв. 43</t>
  </si>
  <si>
    <t>№55/02</t>
  </si>
  <si>
    <t>Замена водовода горячей воды, вваривание стояков, отводов, покраска отвода - 1 блок</t>
  </si>
  <si>
    <t>Очистка канализационной сети внутр.- 4 блок</t>
  </si>
  <si>
    <t>Очистка канализационной сети внутр. - 4 п.</t>
  </si>
  <si>
    <t>Ограждение лестничных площадок перилами - 4 п.; смена дверных приборов - 3, 4 п.</t>
  </si>
  <si>
    <t>Монтаж выключателя, кабеля - 3 п.</t>
  </si>
  <si>
    <t>№185/10</t>
  </si>
  <si>
    <t>Смена ламп накал., демонтаж пакет-го выкл-ля - кв. 6, 52,121</t>
  </si>
  <si>
    <t>№184/10</t>
  </si>
  <si>
    <t>Смена патронов - кв. 59</t>
  </si>
  <si>
    <t>№182/10</t>
  </si>
  <si>
    <t>Смена ламп накал-я, монтаж провода - кв. 14,69,100,105</t>
  </si>
  <si>
    <t>№181/10</t>
  </si>
  <si>
    <t>Смена ламп накаливания - кв. 100</t>
  </si>
  <si>
    <t>№180/10</t>
  </si>
  <si>
    <t>№179/10</t>
  </si>
  <si>
    <t>Смена патровнов - 2 п.</t>
  </si>
  <si>
    <t>№177/10</t>
  </si>
  <si>
    <t>Переразделка проводов - кв. 42</t>
  </si>
  <si>
    <t xml:space="preserve">Посыпка песком дворовых территорий </t>
  </si>
  <si>
    <t>Замена канализационного стояка - кв. 26</t>
  </si>
  <si>
    <t>Замена канализационного стояка - кв. 38</t>
  </si>
  <si>
    <t>Сброс и наполнение стояков ХВС, ГВС, смена внутр. трубопроводов, установка заглушек - кв. 4, 23, 27</t>
  </si>
  <si>
    <t>Замена канализационного стояка - кв. 23</t>
  </si>
  <si>
    <t>Очистка канализационной сети - кв. 106</t>
  </si>
  <si>
    <t>Замена  канализационной трубы ПВХ - кв. 36</t>
  </si>
  <si>
    <t>Замена канализационного стояка - кв. 88</t>
  </si>
  <si>
    <t>Заделка отверстий в перекрытиях</t>
  </si>
  <si>
    <t>№63/10</t>
  </si>
  <si>
    <t>Установка стекол в дерев. Переплетах - 2 п.</t>
  </si>
  <si>
    <t>Заделка перекрытия - кв. 28,32, установка полотен - 2 п.</t>
  </si>
  <si>
    <t>Отогревание стояков - кв. 109</t>
  </si>
  <si>
    <t>Установка дверных приборов - 2 п.</t>
  </si>
  <si>
    <t>Обшивка окон досками - 1 эт., забивка окон - 1 блок</t>
  </si>
  <si>
    <t xml:space="preserve">Установка дверных блоков - 4 п. </t>
  </si>
  <si>
    <t>№14/03</t>
  </si>
  <si>
    <t xml:space="preserve">Установка металлической двери - 1, 3 п. </t>
  </si>
  <si>
    <t>№17/03</t>
  </si>
  <si>
    <t>Ремонт помещения элеваторного узла - 3 блок, 2 элеватор</t>
  </si>
  <si>
    <t>№19/03</t>
  </si>
  <si>
    <t>Сброс и аполнение стояков ХВС, ГВС, смена внутренних трубопроводов из стальных труб, пробивка в бетонных стенах и полах - кв. 4, 8</t>
  </si>
  <si>
    <t>Сброс и наполнение стояков ХВС, ГВС, смена внутренних трубопроводов из стальных труб - кв. 5</t>
  </si>
  <si>
    <t>Сброс и наполнение стояков ХВС, ГВС, разборка трубопроводов из водогазопроводных труб на сварке - кв. 34</t>
  </si>
  <si>
    <t>смена 2-х вентелей Д-20 - кв. 29, подвал</t>
  </si>
  <si>
    <t>№ 12/01</t>
  </si>
  <si>
    <t>№27/05</t>
  </si>
  <si>
    <t>изготовление, установка рам</t>
  </si>
  <si>
    <t>№69/05</t>
  </si>
  <si>
    <t>прочистка канализации с переборкой 5п.</t>
  </si>
  <si>
    <t>Замена канализац.розлива - кв.4,5. открыли отсечн.вентиль г/в - кв.53, перепускание 3-х стояков отопления через подвал - кв.10, перепускание п/сушит.по подвалу - кв.28, закрытие вентилей - кв.17</t>
  </si>
  <si>
    <t>№15/12</t>
  </si>
  <si>
    <t>Установка вентилей - кв.42,43. Замена стояка канализации - кв.4.Замена гребенки - кв.38. Прочистка розлива канализации в подвале.</t>
  </si>
  <si>
    <t>№14/12</t>
  </si>
  <si>
    <t>Замена канализац.стояка в подвале - 2,3 п. Пробивка перекрытия , замена стояка канализации - кв.57. Замена стояка канализ. - кв.53.</t>
  </si>
  <si>
    <t>№13/12</t>
  </si>
  <si>
    <t>№12/12</t>
  </si>
  <si>
    <t>Подмотка сборки - подвал, перепустили стояк п/сушит.через подвал - кв.5, закрытие крана - кв.17, ликвидация воздушн.пробок в стояках - кв.29, прочистка засоров ХВС, ГВС - кв.27</t>
  </si>
  <si>
    <t>Очистка канализац. сети: внутренней -2блок</t>
  </si>
  <si>
    <t>Очистка канализ.сети : внутр. - 1блок, прокладка трубопроводов отопл. - кв.37, установка заглушек - кв.82, временная заделка свищей и трещин - кв.49</t>
  </si>
  <si>
    <t>№158/09</t>
  </si>
  <si>
    <t>Дезинфекция и деротизация</t>
  </si>
  <si>
    <t>Отчет ООО УК "Наш дом" по выполненным работам за 2011 г. по адресу ул. Амурская,д.12</t>
  </si>
  <si>
    <t>Очистка канализационной сети: внутренней - 5п.</t>
  </si>
  <si>
    <t>Очистка канализац. сети: внутренней -1блок</t>
  </si>
  <si>
    <t>Очистка канализационной сети: внутренней -4п.</t>
  </si>
  <si>
    <t>Очистка канализац.сети: внутренней</t>
  </si>
  <si>
    <t>Переборка канализационных труб кв.148</t>
  </si>
  <si>
    <t>Очистка канализационной сети :внутренней</t>
  </si>
  <si>
    <t>№01/05</t>
  </si>
  <si>
    <t>Замена 1 м. тр.ПХВ, розлив. Прочистка розлива канализации - кв. 59</t>
  </si>
  <si>
    <t>Отчет ООО УК "Наш дом" по выполненным работам за 2011г. по адресу пр.Мира,2</t>
  </si>
  <si>
    <t>Дизинсексция и дератизация</t>
  </si>
  <si>
    <t>Отчет ООО УК "Наш дом" по выполненным работам за 2011г. по адресу пр.Мира,4</t>
  </si>
  <si>
    <t>Отчет ООО УК "Наш дом" по выполненным работам за 2011г. по адресу пр.Мира,6</t>
  </si>
  <si>
    <t>Задолженность  перед УК: содержание и текущий ремонт (по начислению) по состоянию на 31.12.2011г.</t>
  </si>
  <si>
    <t>Отчет ООО УК "Наш дом" по выполненным работам за 2011г. по адресу пр.Мира,10</t>
  </si>
  <si>
    <t>Отчет ООО УК "Наш дом" по выполненным работам за 2011г. по адресу пр.Мира,8</t>
  </si>
  <si>
    <t>Смена дверных приборов, забивка слуховых окон - 3 п.</t>
  </si>
  <si>
    <t>Заделка отверстий, гнезд и борозд - кв. 43</t>
  </si>
  <si>
    <t xml:space="preserve">Замена стояка отопления - 4 п.,   розлива по гор. воде - 2 п. </t>
  </si>
  <si>
    <t xml:space="preserve">Замена шифера - кв.29,  навеска замков1шт.  - 1п - д - подвал,  </t>
  </si>
  <si>
    <t>Дезинсекция и дератизазия</t>
  </si>
  <si>
    <t>Отчет ООО УК "Наш дом" по выполненным работам за 2011г. по адресу пр. Амурская,16</t>
  </si>
  <si>
    <t>Очистка канализационной сети внутр. - кв. 88</t>
  </si>
  <si>
    <t>№72/02</t>
  </si>
  <si>
    <t>Ремонт помещения элеваторного узла - 3 п.</t>
  </si>
  <si>
    <t>№70/02</t>
  </si>
  <si>
    <t xml:space="preserve">Установка металлической двери - 3 п. </t>
  </si>
  <si>
    <t>Замена перехода и трубы ПВХ - кв. 37</t>
  </si>
  <si>
    <t>Очистка канализационной сети - 6 п.</t>
  </si>
  <si>
    <t>№58/04</t>
  </si>
  <si>
    <t>Ремонт подвального освещения - 1 п.</t>
  </si>
  <si>
    <t>№50/04</t>
  </si>
  <si>
    <t>Навеска замка - 2 п.</t>
  </si>
  <si>
    <t>Навеска замка, установка стекол - 8 п.</t>
  </si>
  <si>
    <t xml:space="preserve">Навеска замка </t>
  </si>
  <si>
    <t>Ремонт входа в подвал, заделкаотверстий в перекрытиях - 2 п.</t>
  </si>
  <si>
    <t>Ремонт входа в подвал - 1 блок</t>
  </si>
  <si>
    <t>№63/04</t>
  </si>
  <si>
    <t>Пробивка отвер. в стенах- кв.19;ликвидация возд. пробок -кв.53</t>
  </si>
  <si>
    <t>№265/10</t>
  </si>
  <si>
    <t>Смена стекол - 1, 2,3 п.; восстановление перекрытия - кв. 20</t>
  </si>
  <si>
    <t>№62/10</t>
  </si>
  <si>
    <t>Задолженность УК по выполненным работам по содержанию и ремонту (по факту оплаты) по состоянию на 31.12.2012г.</t>
  </si>
  <si>
    <t>до 30.06.2012 г.</t>
  </si>
  <si>
    <t>тариф</t>
  </si>
  <si>
    <t>ВДГО 0,94</t>
  </si>
  <si>
    <t>ТБО 1,57</t>
  </si>
  <si>
    <t>от начисления 10,3%</t>
  </si>
  <si>
    <t>АДС 1,46</t>
  </si>
  <si>
    <t>профосмотр 0,1</t>
  </si>
  <si>
    <t>Лифт 5,02</t>
  </si>
  <si>
    <t>Обслуживание мусоропровода 0,81</t>
  </si>
  <si>
    <t>Установка стекол в дерев. переплетах - 4 п.</t>
  </si>
  <si>
    <t>Обшивка окон досками - 1 п.; демонтаж швеллера с входных дверей - 2 п.</t>
  </si>
  <si>
    <t>Очистка канализационной сети - 1 п.</t>
  </si>
  <si>
    <t>Прочистка канализации с разборкой труб ПВХ - 3 блок</t>
  </si>
  <si>
    <t>Сборка канал. стояков в подвале - кв. 38,39</t>
  </si>
  <si>
    <t>Прочистка канализации с разборкой труб ПВХ</t>
  </si>
  <si>
    <t>№36/03</t>
  </si>
  <si>
    <t>Установка металлических дверей - 3 п.</t>
  </si>
  <si>
    <t>Прочистка вентиляционных каналов - кв. 16</t>
  </si>
  <si>
    <t>пл.пор.№172 от 16.06.11</t>
  </si>
  <si>
    <t>Оплата за промывку согласно расчета расхода ГВС</t>
  </si>
  <si>
    <t>пл.пор.№172от 16.06.11</t>
  </si>
  <si>
    <t>№33/08</t>
  </si>
  <si>
    <t xml:space="preserve">Штукатурка стен, масляная окраска стен и т. д. - 1 п. </t>
  </si>
  <si>
    <t>№47/08</t>
  </si>
  <si>
    <t>Отделочные работы - 6 п.</t>
  </si>
  <si>
    <t>№38/08</t>
  </si>
  <si>
    <t>Ремонт лестничных ограждений - 1 п.</t>
  </si>
  <si>
    <t>№35/08</t>
  </si>
  <si>
    <t>№32/08</t>
  </si>
  <si>
    <t>Отделочные работы - 2 п.</t>
  </si>
  <si>
    <t>№16/08</t>
  </si>
  <si>
    <t xml:space="preserve">Изготовление и установка вешал </t>
  </si>
  <si>
    <t>№61/07</t>
  </si>
  <si>
    <t>Изготовление, установка песочниц</t>
  </si>
  <si>
    <t>№10/08</t>
  </si>
  <si>
    <t>Установка рам, ремонт дверей, лестн. ограждений</t>
  </si>
  <si>
    <t>№83/10</t>
  </si>
  <si>
    <t>Изготовление, установка рам, остекление</t>
  </si>
  <si>
    <t>№84/10</t>
  </si>
  <si>
    <t>№88/10</t>
  </si>
  <si>
    <t>№87/10</t>
  </si>
  <si>
    <t>Перенавеска водосточных труб</t>
  </si>
  <si>
    <t>№86/10</t>
  </si>
  <si>
    <t>№75/10</t>
  </si>
  <si>
    <t>№74/10</t>
  </si>
  <si>
    <t>№90/10</t>
  </si>
  <si>
    <t>№79/10</t>
  </si>
  <si>
    <t>№77/10</t>
  </si>
  <si>
    <t>№76/10</t>
  </si>
  <si>
    <t>№53/10</t>
  </si>
  <si>
    <t>№60/10</t>
  </si>
  <si>
    <t>№98/10</t>
  </si>
  <si>
    <t>№97/10</t>
  </si>
  <si>
    <t>№99/10</t>
  </si>
  <si>
    <t>№101/10</t>
  </si>
  <si>
    <t>№100/10</t>
  </si>
  <si>
    <t>№102/10</t>
  </si>
  <si>
    <t>№103/10</t>
  </si>
  <si>
    <t>№120/10</t>
  </si>
  <si>
    <t>Забивка сл. окон; демонтаж почтовых ящиков - 7 п.</t>
  </si>
  <si>
    <t>№104/10</t>
  </si>
  <si>
    <t>№122/10</t>
  </si>
  <si>
    <t>Закрыли дыру шифером - кв. 14, 15; смена дерев. конька</t>
  </si>
  <si>
    <t>Заделка отверстий в перекрытиях кирпичом</t>
  </si>
  <si>
    <t>№121/10</t>
  </si>
  <si>
    <t>№52/10</t>
  </si>
  <si>
    <t>Заделка отверстий в перекрытии</t>
  </si>
  <si>
    <t>№123/10</t>
  </si>
  <si>
    <t>Прочистка вент. Каналов - кв. 93</t>
  </si>
  <si>
    <t>№124/10</t>
  </si>
  <si>
    <t>№130/10</t>
  </si>
  <si>
    <t>Обмазали примыкания канал-ой трубы мастикой - кв. 20</t>
  </si>
  <si>
    <t>№129/10</t>
  </si>
  <si>
    <t>Смена стекол - 3 п.</t>
  </si>
  <si>
    <t>№128/10</t>
  </si>
  <si>
    <t>Установка входной двери - кв. 9; смена стекол - 1 п.</t>
  </si>
  <si>
    <t>№127/10</t>
  </si>
  <si>
    <t>Заделка отвер. в перекр. - кв.128; демонтаж, монтаж п/ящ.- 2 п.</t>
  </si>
  <si>
    <t>№126/10</t>
  </si>
  <si>
    <t>Обшивка двери; заделка отверст. в перекрытии - кв. 25, 29</t>
  </si>
  <si>
    <t>№125/10</t>
  </si>
  <si>
    <t>Навеска замка - подвал; устройство пароизоляции -кв. 38</t>
  </si>
  <si>
    <t>№132/10</t>
  </si>
  <si>
    <t>№94/10</t>
  </si>
  <si>
    <t>№93/10</t>
  </si>
  <si>
    <t>№92/10</t>
  </si>
  <si>
    <t>№91/10</t>
  </si>
  <si>
    <t>№96/10</t>
  </si>
  <si>
    <t>№95/10</t>
  </si>
  <si>
    <t>Пробивка в бетонных стенах и полах отверстий, врезка ввода по х/в - подвал. Ревизия, установка вентилей - кв.5</t>
  </si>
  <si>
    <t>161/09</t>
  </si>
  <si>
    <t>Смена стояков отопления - кв.6, демонтаж задвижки - подвал</t>
  </si>
  <si>
    <t>№162/09</t>
  </si>
  <si>
    <t>Установка сопел - 1,2,3 блоки, откачка воды из подвала электрич.насосами - 3 блок, разборка трубопроводов - 2 блок</t>
  </si>
  <si>
    <t>№163/09</t>
  </si>
  <si>
    <t>№164/09</t>
  </si>
  <si>
    <t>№165/09</t>
  </si>
  <si>
    <t>Демонтаж старой сборки - кв.48</t>
  </si>
  <si>
    <t>Демонтаж канализ.стояка кв.16, замена канализац. Стояка кв.46,49</t>
  </si>
  <si>
    <t>№167/09</t>
  </si>
  <si>
    <t>Закрепление этажных щитков на саморезы</t>
  </si>
  <si>
    <t>Сброс и наполнение стояков ХВС, ГВС, установка вентилей, смена сгонов, вваривание резьбы - 2 п.</t>
  </si>
  <si>
    <t>Смена стояка Д-25 0,2м кв-93</t>
  </si>
  <si>
    <t>Сброс и наполнение стояков ХВС, ГВС, смена вентилей - кв. 28</t>
  </si>
  <si>
    <t xml:space="preserve">Устр-во пароиз-ии-5 п.;смена стекол -3, 1 п.; заделка перекрытия - кв.80; навеска замка - 3 бл.;кв.98; кв.28; </t>
  </si>
  <si>
    <t xml:space="preserve">Ремонт отдельных мест покрытия из асбоцементных листов - кв. 77; </t>
  </si>
  <si>
    <t>Временная заделка свищей, трещин на внутр. трубопроводах - кв. 156; смена сгонов,  подвал</t>
  </si>
  <si>
    <t>Замена стояка х/в в подъезде - кв.56, заварен свищ на стояке х/в - 5под.,  4под.</t>
  </si>
  <si>
    <t>Прочистка вент.каналов - кв.76, кв.32,  4под.</t>
  </si>
  <si>
    <t>Забивка штрабы - 5п.;закрытие окон - 6п.,4 п.</t>
  </si>
  <si>
    <t>Заделка отверстий - кв. 20; установка дверных приборов - 1, 4 п.</t>
  </si>
  <si>
    <t>Очистка канализационной сети внутр. - 5 п.</t>
  </si>
  <si>
    <t>Очистка канализационной сети внутр. - кв. 13</t>
  </si>
  <si>
    <t>Очистка канализационной сети внутр. - кв. 58; переборка канализации - 2 блок</t>
  </si>
  <si>
    <t>Замена канализационного стояка - кв. 3</t>
  </si>
  <si>
    <t>Сборка канализационного розлива - 1 блок</t>
  </si>
  <si>
    <t>Очистка канализационной сети внутр. - подвал</t>
  </si>
  <si>
    <t>Уборка к/площадки,вывоз</t>
  </si>
  <si>
    <t>Уборка ,вывоз мусора</t>
  </si>
  <si>
    <t>Очистка территории от мусора,вывоз</t>
  </si>
  <si>
    <t>№12/05</t>
  </si>
  <si>
    <t>Ремонт помещений элеваторн. Узлов</t>
  </si>
  <si>
    <t>Ремонт помещений элеваторных узлов</t>
  </si>
  <si>
    <t>Очистка канализационной сети:внутренней кв.58</t>
  </si>
  <si>
    <t>Очистка канализационной сети внутренней</t>
  </si>
  <si>
    <t>Очистка канализационной сети:внутренней</t>
  </si>
  <si>
    <t>Замена стояка канализации кв. 63</t>
  </si>
  <si>
    <t xml:space="preserve">Очистка канализационной сети внутр. Кв.90 </t>
  </si>
  <si>
    <t>Прочистка засоров ХВС,ГВС -кв.67</t>
  </si>
  <si>
    <t>Смена ламп накаливания - кв. 5</t>
  </si>
  <si>
    <t>№24/08</t>
  </si>
  <si>
    <t>Установка выключателей нагрузки - кв.104</t>
  </si>
  <si>
    <t>Установка выключателей нагрузки - кв. 69</t>
  </si>
  <si>
    <t>Установка выключателей нагрузки - кв. 84,88,29</t>
  </si>
  <si>
    <t>Установка выключателей нагрузки - кв. 2</t>
  </si>
  <si>
    <t>Установка выключателей нагрузки - кв. 57</t>
  </si>
  <si>
    <t>Демонтаж скрытой электропроводки</t>
  </si>
  <si>
    <t>№40/08</t>
  </si>
  <si>
    <t>Очистка канализационной сети - внутренней - 2 п.</t>
  </si>
  <si>
    <t>№39/08</t>
  </si>
  <si>
    <t>Заделка отверстий, гнезд, борозд - кв. 15,21</t>
  </si>
  <si>
    <t>Смена стекол - 1, 2 п.</t>
  </si>
  <si>
    <t>Заделка перекрытия - кв. 1, 31</t>
  </si>
  <si>
    <t>Смена стекол - 1-8 п.</t>
  </si>
  <si>
    <t>Прочистка вент. каналов - кв. 51</t>
  </si>
  <si>
    <t>Установка полотен - 4 п.</t>
  </si>
  <si>
    <t xml:space="preserve">Смена стекол </t>
  </si>
  <si>
    <t>Сброс и наполнение стояков ХВС, ГВС 1 п.</t>
  </si>
  <si>
    <t>Сброс и наполнение стояков ХВС, ГВСкв. 11, 128</t>
  </si>
  <si>
    <t>Смена внутренних трубопроводов из стальных труб - 1 блок</t>
  </si>
  <si>
    <t>Прочистка подводки х/в от  стояка до  отсечного  вентиля кв.73, кв.18</t>
  </si>
  <si>
    <t xml:space="preserve">Смена вентилей, ревизия сборки - кв. 58, 80,  кв. 71 </t>
  </si>
  <si>
    <t>Прочистка канализационного стояка, , установка пробок - кв. 24, 28</t>
  </si>
  <si>
    <t xml:space="preserve">Обшивка каркасных стен - 5 п.; изготовление и установка щита - 8 п.; </t>
  </si>
  <si>
    <t>Установка дверн. приборов, навеска замка-1,3 бл.; забивка дверей - 4 п.</t>
  </si>
  <si>
    <t xml:space="preserve">Установка п/ящ. -1п.  </t>
  </si>
  <si>
    <t xml:space="preserve">Установка вентилей,заглушек-кв.13-кв.24,кв.19,23;подмотка сборки-кв.54;установка </t>
  </si>
  <si>
    <t>Замена канал. через перекрытия 2, 3 п.</t>
  </si>
  <si>
    <t>Заделка отверст. в перекр-х-кв.19,23; кв.49; кв.13; прочистка вент. каналов-кв.19</t>
  </si>
  <si>
    <t>Смена стекол- 1 п.;забивка слух. окна, навеска замка -1 бл.</t>
  </si>
  <si>
    <t xml:space="preserve">Ремонт тройника элеватора - 2элеватор, установка канализационной  трубы кв.33,  </t>
  </si>
  <si>
    <t>Прочистка вент. каналов - кв.11,51,14; закрытие слух. окна-1 бл.</t>
  </si>
  <si>
    <t>Сброс и наполнение стояков ХВС, ГВС кв. 42</t>
  </si>
  <si>
    <t>Смена внутр. трубопроводов из стальных труб, установка вентилей, смена сгонов.</t>
  </si>
  <si>
    <t>Сброс и наполнение стояков ХВС, ГВС кв. 35</t>
  </si>
  <si>
    <t>Замена муфты, приваривание сброса в подвале - кв. 40;  кв. 49</t>
  </si>
  <si>
    <t>Заглушки - 4 п.; сброс и наполнение стояков ХВС, ГВС, ревизия вентилей - 2 п.</t>
  </si>
  <si>
    <t>Установка сопел - 1, 2, 3 блоки,  разборка трубопроводов - 2 блок</t>
  </si>
  <si>
    <t>Сброс и наполнение стояков ХВС, ГВС, установка вентилей - подвал</t>
  </si>
  <si>
    <t>ВСЕГО работ по содержанию и ремонту за 2011г.</t>
  </si>
  <si>
    <t>Начислено: содержание и текущий ремонт за период с 01.04.2008 по 31.12.2011</t>
  </si>
  <si>
    <t>№60/02</t>
  </si>
  <si>
    <t>Прочистка вентиляционных каналов, кв. 75 (3 эт.); 79 (3 эт.); 80 (4 эт.); 85 (1 эт.)</t>
  </si>
  <si>
    <t>Монтаж кабеля, выключателя - з-к "Болоньский"</t>
  </si>
  <si>
    <t>Сброс, наполнение стояков ХВС,ГВС, уплотнение сгонов- кв. 82</t>
  </si>
  <si>
    <t>Установка радиаторных пробок - кв. 15</t>
  </si>
  <si>
    <t>Замена части транзита по хол. воде - 1 блок, ревизия вентилей - 1, 2, 3 блок</t>
  </si>
  <si>
    <t>Заделка отверстий, гнезд, борозд в перекрытиях - кв. 3, 7</t>
  </si>
  <si>
    <t>Устройство ходов на чердаке - 2, 5 п.</t>
  </si>
  <si>
    <t>Забивка слуховых окон</t>
  </si>
  <si>
    <t>Заделка отверстий, гнезд, борозд - 3 п., кв. 27; обшивка каркасных стен - 8 п.</t>
  </si>
  <si>
    <t>Ремонт дверного блока,побелка потолка,стен, кирпичная кладка</t>
  </si>
  <si>
    <t>Заваривание подвального окна</t>
  </si>
  <si>
    <t>Переборка шифера - кв. 50</t>
  </si>
  <si>
    <t>Заделка перекрытия - кв. 4,8</t>
  </si>
  <si>
    <t>Ремонт дверей - 2 блок</t>
  </si>
  <si>
    <t>Установка стекол - 6 п.</t>
  </si>
  <si>
    <t>Установка дверных приборов, навеска замка - 1 п.</t>
  </si>
  <si>
    <t>Установка стекол</t>
  </si>
  <si>
    <t>Заложили дыру кирпичем - элеватор</t>
  </si>
  <si>
    <t>Валка деревьев - 1 п.</t>
  </si>
  <si>
    <t>Уборка свесов</t>
  </si>
  <si>
    <t>Переборка шифера - кв. 48</t>
  </si>
  <si>
    <t>Замена стояка канализации - кв. 50</t>
  </si>
  <si>
    <t>Замена стояка канализации - 4 п.</t>
  </si>
  <si>
    <t>Замена стояка канализации - кв. 49</t>
  </si>
  <si>
    <t>Очистка канализационной сети внутр. - 4 блок</t>
  </si>
  <si>
    <t>Очистка канализационной сети: внутренней - 3, 9 п.; замена канал. стояка  - кв. 77</t>
  </si>
  <si>
    <t>Начислено: содержание и текущий ремонт</t>
  </si>
  <si>
    <t>Начислено: капитальный ремонт</t>
  </si>
  <si>
    <t>Оплата: содержание и текущий ремонт</t>
  </si>
  <si>
    <t>Оплата: капитальный ремонт</t>
  </si>
  <si>
    <t>Задолженность: по содержанию и текущему ремонту</t>
  </si>
  <si>
    <t>Задолженность: по капитальному ремонту</t>
  </si>
  <si>
    <t>Затраты на АРКЦ, УК</t>
  </si>
  <si>
    <t>Задолженность жильцов перед управляющей компанией</t>
  </si>
  <si>
    <t>№02/01</t>
  </si>
  <si>
    <t>ремонт подъездного освещения</t>
  </si>
  <si>
    <t>ремонт подъездного оборудования</t>
  </si>
  <si>
    <t>№07/01</t>
  </si>
  <si>
    <t>заварен свищ на п/сушителе- кв.39</t>
  </si>
  <si>
    <t>заварен свищ г/в - элеватор, смена внутр.трубопр.из стальных труб, демонтаж грязевиков.</t>
  </si>
  <si>
    <t>разборка и сборка элеваторн.узла</t>
  </si>
  <si>
    <t>Разборка и сборка элеваторн.узла</t>
  </si>
  <si>
    <t>заварен свищ на п/сушителе - кв.68, установка отсечных вентилей по х/в г/в - кв.49</t>
  </si>
  <si>
    <t>пр.№78-11 от 14.07.11</t>
  </si>
  <si>
    <t>Изготовлена и установлена метал. дверь - 4 п.</t>
  </si>
  <si>
    <t>пр.№82-11 от 14.07.11</t>
  </si>
  <si>
    <t>Изготовлена и установлена метал. дверь - 2 п.</t>
  </si>
  <si>
    <t>пр.№56-11 от 17.05.11</t>
  </si>
  <si>
    <t>пр.№57-11 от 17.05.11</t>
  </si>
  <si>
    <t>Изготовлена и установлена метал. дверь - 5 п.</t>
  </si>
  <si>
    <t>пр.№87-11 от 14.07.11</t>
  </si>
  <si>
    <t>Установка раковины с тумбой - кв. 30</t>
  </si>
  <si>
    <t>с/ф№3/4/1/026863 от 30.06.11, с/ф№3/4/1/028447 от 31.07.11</t>
  </si>
  <si>
    <t>закрыто вентилей- 2шт.</t>
  </si>
  <si>
    <t>закрыто вентилей</t>
  </si>
  <si>
    <t>закрыто вентилей - 2</t>
  </si>
  <si>
    <t>сравка</t>
  </si>
  <si>
    <t>закрыто вентилей - 6</t>
  </si>
  <si>
    <t>закрыто вентилей - 1</t>
  </si>
  <si>
    <t>закрытие задвижек - 4</t>
  </si>
  <si>
    <t>закрытие задвижек - 6</t>
  </si>
  <si>
    <t>закрытие задвижек - 2</t>
  </si>
  <si>
    <t>закрытие задвижек - 3</t>
  </si>
  <si>
    <t>Укрепление оконных, дверных коробок - 1 п., утепление трубопроводов в каналах, коробках - торец; смена стекол в дерев. переплетах - кв. 1, обшивка окон -  2 , 4 п.</t>
  </si>
  <si>
    <t>Разборка трубопроводов - кв. 63</t>
  </si>
  <si>
    <t>Смена сгонов  - 4 п.</t>
  </si>
  <si>
    <t>Замена сборки г/в - кв. 117</t>
  </si>
  <si>
    <t xml:space="preserve">Прочистка х/в до вентеля, установка труб - кв. 114 </t>
  </si>
  <si>
    <t>№19/08</t>
  </si>
  <si>
    <t>Смена внутренних трубопроводов - кв. 117</t>
  </si>
  <si>
    <t>Начислено: капитальный ремонт за период с 01.04.2008 по 31.12.2011г.</t>
  </si>
  <si>
    <t>Оплачено: капитальный ремонт за период с 01.04.2008 по 31.12.2011г.</t>
  </si>
  <si>
    <t>Выполнено работ: капитальный ремонт за период с 01.04.2008 по 31.12.2011г.</t>
  </si>
  <si>
    <t>Оплачено: капитальный ремонт за 2011г.</t>
  </si>
  <si>
    <t>Выполнено работ: капитальный ремонт за 2011г.</t>
  </si>
  <si>
    <t>Задолженность  УК: содержание и текущий ремонт (по начислению) по состоянию на 31.12.2011г.</t>
  </si>
  <si>
    <t>Задолженность перед УК: капитальный ремонт (по начислению) по состоянию на 31.12.2011г.</t>
  </si>
  <si>
    <t>Задолженность УК по выполненным работам по содержанию и ремонту (по факту оплаты) по состоянию на 31.12.2011г.</t>
  </si>
  <si>
    <t>№60/11</t>
  </si>
  <si>
    <t>Демонтаж ограждения по кровле - 5 п.</t>
  </si>
  <si>
    <t>№52/11</t>
  </si>
  <si>
    <t>Ревизия этажных щитов</t>
  </si>
  <si>
    <t>№57а/11</t>
  </si>
  <si>
    <t>Смена сгонов, вентилей - 2 блок</t>
  </si>
  <si>
    <t>№57/11</t>
  </si>
  <si>
    <t>Проводка холодной воды - кв. 22, 23</t>
  </si>
  <si>
    <t>№53/11</t>
  </si>
  <si>
    <t>Восстановление подъездного ограждения - 3 п.</t>
  </si>
  <si>
    <t>№51/11</t>
  </si>
  <si>
    <t>Откачка воды из подвала эл.насосом - 3 блок</t>
  </si>
  <si>
    <t>Очистка канал-ой сети - кв. 21, подвал</t>
  </si>
  <si>
    <t>№50/11</t>
  </si>
  <si>
    <t>Очистка канал-ой сети - 3, 4 п.</t>
  </si>
  <si>
    <t>№49/11</t>
  </si>
  <si>
    <t>приказ №57-11</t>
  </si>
  <si>
    <t>5под.- установка металлич.двери</t>
  </si>
  <si>
    <t>приказ №56-11</t>
  </si>
  <si>
    <t>4под.- установка металлич.двери</t>
  </si>
  <si>
    <t>Промывка системы отопления</t>
  </si>
  <si>
    <t>с/ф№1181 от 16.05.11</t>
  </si>
  <si>
    <t>Талон на захоронение ТБО</t>
  </si>
  <si>
    <t>с/ф№1181 от16.05.11</t>
  </si>
  <si>
    <t>Замена канализационного стояка через перекрытие, пробивка перекрытия перфоратором, установка муфты, ревизии - кв. 56, 60</t>
  </si>
  <si>
    <t>Очистка канализационной сети внутр. - 1 блок</t>
  </si>
  <si>
    <t>Очистка канализационной сети - 2 блок</t>
  </si>
  <si>
    <t>Зачеканка раструбов канализационных труб - кв. 19</t>
  </si>
  <si>
    <t>№23/02</t>
  </si>
  <si>
    <t>Очистка канализационной сети внутр. - кв. 2</t>
  </si>
  <si>
    <t>Очистка канализационной сети внутр. - кв. 6</t>
  </si>
  <si>
    <t>Установка водосточной трубы - 2 бл.</t>
  </si>
  <si>
    <t>№39/11</t>
  </si>
  <si>
    <t>Частичный ремонт кровли - кв.29,30,45,57,58,43</t>
  </si>
  <si>
    <t>№38/11</t>
  </si>
  <si>
    <t>Смена вентилей - 4 п.</t>
  </si>
  <si>
    <t>№36/11</t>
  </si>
  <si>
    <t>Замена стояка х/в, г/в, канал-ии - кв. 66, 70</t>
  </si>
  <si>
    <t>№32/11</t>
  </si>
  <si>
    <t>Остекление в подъезде - 4 п.</t>
  </si>
  <si>
    <t>№30/11</t>
  </si>
  <si>
    <t>Замена водовода холодной воды - 1, 2 п.</t>
  </si>
  <si>
    <t>№28/11</t>
  </si>
  <si>
    <t>Запуск отопления, опрессовка элеваторов</t>
  </si>
  <si>
    <t>№150/09</t>
  </si>
  <si>
    <t>№107/09</t>
  </si>
  <si>
    <t>Ремонт подъезда - 7под.</t>
  </si>
  <si>
    <t>№106/09</t>
  </si>
  <si>
    <t>№105/09</t>
  </si>
  <si>
    <t>Ремонт подъезда - 4под.</t>
  </si>
  <si>
    <t>№103/09</t>
  </si>
  <si>
    <t>Ремонт подъезда - 1под.</t>
  </si>
  <si>
    <t>Пробивка канал- ии с подвала до колодца - подвал</t>
  </si>
  <si>
    <t>Прочистка канал-го выпуска с подвала до колодца - подвал</t>
  </si>
  <si>
    <t>;№97/11</t>
  </si>
  <si>
    <t>уборка снега</t>
  </si>
  <si>
    <t>97/11</t>
  </si>
  <si>
    <t>№95/11</t>
  </si>
  <si>
    <t>Ремонт крыльца - 2под.</t>
  </si>
  <si>
    <t>№94/11</t>
  </si>
  <si>
    <t>Замена балконного блока - кв.115</t>
  </si>
  <si>
    <t>№99/11</t>
  </si>
  <si>
    <t>Посыпка песка</t>
  </si>
  <si>
    <t>Посыпка песком</t>
  </si>
  <si>
    <t>99/11</t>
  </si>
  <si>
    <t>№87/11</t>
  </si>
  <si>
    <t>№86/11</t>
  </si>
  <si>
    <t>№83/11</t>
  </si>
  <si>
    <t>№74/11</t>
  </si>
  <si>
    <t>Замена канализац.стояка - подвал, очистка канализац.сети: внутренней кв.64, замена стояка отопления через перекрытие - кв.49,53</t>
  </si>
  <si>
    <t>Сброс и наполнение стояков ГВС, ХВС</t>
  </si>
  <si>
    <t>№53/01</t>
  </si>
  <si>
    <t>№46/01</t>
  </si>
  <si>
    <t>Замена части розлива холодной воды - 1 блок</t>
  </si>
  <si>
    <t xml:space="preserve">Ремонт водовода ХВС </t>
  </si>
  <si>
    <t>Монтаж выключателей нагрузки - кв. 72, 73</t>
  </si>
  <si>
    <t>Монтаж выключателей нагрузки - кв. 41, 92, 53, 86, 1</t>
  </si>
  <si>
    <t>Монтаж выключателей нагрузки - кв. 25</t>
  </si>
  <si>
    <t>Монтаж выключателей нагрузки - кв. 38</t>
  </si>
  <si>
    <t>№27/06</t>
  </si>
  <si>
    <t>Ревизия ВРУ, монтаж выключателя нагрузки</t>
  </si>
  <si>
    <t>Ремонт стояковой разводки</t>
  </si>
  <si>
    <t xml:space="preserve">Закрепление этажных щитков на саморезы </t>
  </si>
  <si>
    <t>Установка стекол - 3 п.; ремонт дверей - 2 п.</t>
  </si>
  <si>
    <t>Установка полотен - 3 п.; забивка окон, навеска замка - 1 п.</t>
  </si>
  <si>
    <t>Заваривание подвального окна высечкой, монтаж решеток - 3п.</t>
  </si>
  <si>
    <t>159/09</t>
  </si>
  <si>
    <t xml:space="preserve">Очистка канализационной сети внутр. </t>
  </si>
  <si>
    <t>Очистка канализационной сети внутр. - кв. 7</t>
  </si>
  <si>
    <t>Очистка канализационной сети внутр. - 2 блок</t>
  </si>
  <si>
    <t>Очистка канализационной сети внутр. - кв. 68</t>
  </si>
  <si>
    <t>Очистка канализационной сети внутр. - кв. 45, 46</t>
  </si>
  <si>
    <t>Ликвидация воздушных пробок в стояках - кв. 87</t>
  </si>
  <si>
    <t>Ревизия задвижек; ликвидация воздушных пробок в стояках - кв. 110</t>
  </si>
  <si>
    <t xml:space="preserve">Ревизия задвижек </t>
  </si>
  <si>
    <t>Подмотка радиаторных пробок - кв. 9</t>
  </si>
  <si>
    <t>№65/04</t>
  </si>
  <si>
    <t>Перепустили стояк отопления - 1 блок, кв. 1, 3, 5, 7, 11, 115</t>
  </si>
  <si>
    <t>Перепустили стояк отопления - 2 блок, кв. 96, 97, 98, 61, элеватор</t>
  </si>
  <si>
    <t>Перепустили стояк отопления - кв. 15</t>
  </si>
  <si>
    <t>Перепустили стояк отопления через подвал - кв. 18</t>
  </si>
  <si>
    <t>Ревизия вентилей, регулировка смывного бачка - кв. 104</t>
  </si>
  <si>
    <t>Перепустили стояк отопления через подвал - кв. 5, 9, 14</t>
  </si>
  <si>
    <t xml:space="preserve">Побелка стен, покраска труб, штукатурка швов, изготовление дверного блока, обивка жестью, покраска двери </t>
  </si>
  <si>
    <t>№25/02</t>
  </si>
  <si>
    <t>Восстановление подъездного отопления</t>
  </si>
  <si>
    <t>Замена сборки на стояке г/в в подвале, приваривание резьбы, установка сгона, муфты, вентилей, заглушки - 5 п.</t>
  </si>
  <si>
    <t>Отогревание стояков - кв.4</t>
  </si>
  <si>
    <t>Сброс и наполнение стояков ХВС, ГВС, смена сгонов - 4 п.</t>
  </si>
  <si>
    <t>Сброс и наполнение стояков ХВС, ГВС, разборка трубопроводов, пробивка отверстий в стенах - кв. 2</t>
  </si>
  <si>
    <t>с/ф1181 от 16.05.11</t>
  </si>
  <si>
    <t>с/ф№1743 от 29.06.11</t>
  </si>
  <si>
    <t>Устройство пароизоляции - кв. 59,60; установка п/ящиков - 4 п.</t>
  </si>
  <si>
    <t>№61/10</t>
  </si>
  <si>
    <t>июль</t>
  </si>
  <si>
    <t>Открытие ГВС с обратного трубопровода</t>
  </si>
  <si>
    <t>пр.99-11 от 16.08.11</t>
  </si>
  <si>
    <t>Устранение следов протечек с кровли - кв. 32</t>
  </si>
  <si>
    <t>пр. №98-11 от 16.08.11</t>
  </si>
  <si>
    <t>Навеска замка -3 п.;смена стекол-1 п.;обшивка окна - 1, 4 п.</t>
  </si>
  <si>
    <t>№106/12</t>
  </si>
  <si>
    <t>Заделка перекрытия- кв. 101;обшивка дверей-1 п.;навеска замка-2,3 бл.;смена стекол- 3,4 п.</t>
  </si>
  <si>
    <t>Отогрев канализац.стояков</t>
  </si>
  <si>
    <t>Отогрев канализ.стояков</t>
  </si>
  <si>
    <t>Очистка канализац.трубы от наледи</t>
  </si>
  <si>
    <t>Очистка чердака от снега</t>
  </si>
  <si>
    <t>Очистка крыши от снега</t>
  </si>
  <si>
    <t>Замена стояка отопления кв.70</t>
  </si>
  <si>
    <t>№ 04/01</t>
  </si>
  <si>
    <t>№13/01</t>
  </si>
  <si>
    <t>№67/01</t>
  </si>
  <si>
    <t>№42/01</t>
  </si>
  <si>
    <t>№67/02</t>
  </si>
  <si>
    <t>№57/02</t>
  </si>
  <si>
    <t>б/н</t>
  </si>
  <si>
    <t>№48/06</t>
  </si>
  <si>
    <t>№48/02</t>
  </si>
  <si>
    <t>№31/03</t>
  </si>
  <si>
    <t>№11/03</t>
  </si>
  <si>
    <t>№08/03</t>
  </si>
  <si>
    <t>Ликвидация воздушных пробок в стояках кв.55,37</t>
  </si>
  <si>
    <t>№74/04</t>
  </si>
  <si>
    <t>предохранителя замена кв.6</t>
  </si>
  <si>
    <t>Ликвидация воздушных пробок в стояках кв.40,29</t>
  </si>
  <si>
    <t>трактор МТЗ-82</t>
  </si>
  <si>
    <t>№47/02</t>
  </si>
  <si>
    <t>Сброс и наполнение стояков ХВС, ГВС, уплотнение сгонов - кв. 65</t>
  </si>
  <si>
    <t>Сброс и наполнение стояков ХВС, ГВС, смена вентилей - кв. 10</t>
  </si>
  <si>
    <t>Установка заглушек - кв. 62</t>
  </si>
  <si>
    <t>Сброс и наполнение стояков ХВС, ГВС, прочистка засоров ХВС, ГВС - кв. 96</t>
  </si>
  <si>
    <t>Замена стояка п/суш.-кв.85,89;перепущен стояк отопл.-кв.46; замена кан-го стояка-кв.69,74;замена подводки к п/суш.-кв.16;</t>
  </si>
  <si>
    <t>№138/10</t>
  </si>
  <si>
    <t>Смена патронов - 9 эт.</t>
  </si>
  <si>
    <t>Замена предохранителя - кв. 6</t>
  </si>
  <si>
    <t>Отключение уличных светильников - 1, 2, 3, 4 блок</t>
  </si>
  <si>
    <t>№77/04</t>
  </si>
  <si>
    <t>Ремонт шиферной кровли - кв. 39</t>
  </si>
  <si>
    <t>№79/04</t>
  </si>
  <si>
    <t>Изготовление и установка перил - 4 п.</t>
  </si>
  <si>
    <t>Прочистка канал -го стояка - кв. 50</t>
  </si>
  <si>
    <t>Пробивка канал-ии с подвала в коллектор - 2 блок</t>
  </si>
  <si>
    <t>Замена канал-го стояка - подвал</t>
  </si>
  <si>
    <t>Установка опалубки - 1 п.</t>
  </si>
  <si>
    <t>Перемотали резьбу на подводке к см/бачку - кв.81,  прочистка канализации , замена канализ.стояка в подвале, пробивка траншеи в бетоне - 3п.</t>
  </si>
  <si>
    <t>№73/11</t>
  </si>
  <si>
    <t>№64/11</t>
  </si>
  <si>
    <t>Прочистка вентканалов - кв.78</t>
  </si>
  <si>
    <t>№63/11</t>
  </si>
  <si>
    <t>Прочистка вентканалов - кв.103,116</t>
  </si>
  <si>
    <t>№62/11</t>
  </si>
  <si>
    <t>Ремонт подвальной питающей сети стояковой разводки - 1,2,3,4 п-ды.</t>
  </si>
  <si>
    <t>№59/11</t>
  </si>
  <si>
    <t>Замена канализации - 1блок (подвал)</t>
  </si>
  <si>
    <t>№58/11</t>
  </si>
  <si>
    <t>Ремонт перил - 4,8 п - ды.</t>
  </si>
  <si>
    <t>№115/12</t>
  </si>
  <si>
    <t xml:space="preserve">Навеска замка- 2 п.; смена дверных приборов - 9 п. </t>
  </si>
  <si>
    <t>№114/12</t>
  </si>
  <si>
    <t>Забивка дверей - 2п., забивка подвала досками- 1 п.</t>
  </si>
  <si>
    <t>№113/12</t>
  </si>
  <si>
    <t>Обшивка окна оргалитом - кв.23, заделка перекрытия-кв.65,забивка дверей- кв.39;установка п/ящ - 2 п.</t>
  </si>
  <si>
    <t>№112/12</t>
  </si>
  <si>
    <t>Укрепление дверн. коробок-1 п., обшивка дверей-2 п., прочистка вент. каналов - кв.34; монтаж решеток- 1 бл.</t>
  </si>
  <si>
    <t>№111/12</t>
  </si>
  <si>
    <t>Смена стекол - 4п.; установка рамы - 1,2,3 п.;смена стекол-3,4п.</t>
  </si>
  <si>
    <t>Очистка канализационной сети внутр. - 3 блок</t>
  </si>
  <si>
    <t>Очистка канализационной сети внутр. - кв. 4</t>
  </si>
  <si>
    <t>Установлена метал. дверь входная - 5 п.</t>
  </si>
  <si>
    <t>справка, пл.пор.№245 от 18.08.11</t>
  </si>
  <si>
    <t>справка,пл.пор.№245 от 18.08.11</t>
  </si>
  <si>
    <t>№ 42/08</t>
  </si>
  <si>
    <t>справка,пл.пор.№ 245 от 18.08.11</t>
  </si>
  <si>
    <t>счет №155 от 29.08.11</t>
  </si>
  <si>
    <t>Уборка, погрузка мусора</t>
  </si>
  <si>
    <t>закрытие задвижек</t>
  </si>
  <si>
    <t xml:space="preserve">закр.задвижек </t>
  </si>
  <si>
    <t>закрыт.задвиж.</t>
  </si>
  <si>
    <t>отключ.отопл. Задвижки</t>
  </si>
  <si>
    <t>отключ.отоплен. Задвижки</t>
  </si>
  <si>
    <t>отключен.отопления задвижки</t>
  </si>
  <si>
    <t>отключен.отоплен. Задвижки</t>
  </si>
  <si>
    <t>отключен.отопления  задвижки.</t>
  </si>
  <si>
    <t>очистка козырьков</t>
  </si>
  <si>
    <t xml:space="preserve">очистка козырьков </t>
  </si>
  <si>
    <t>Перенавеска водосточных труб - кв. 24; забивка дверей - кв. 28</t>
  </si>
  <si>
    <t>№54/10</t>
  </si>
  <si>
    <t>Ремонт дверных коробок; установка дверных приборов - 2 блок</t>
  </si>
  <si>
    <t>Установка дверных приборов - торец; решеток на окна - 2 п.</t>
  </si>
  <si>
    <t>Монтаж выключателей нагрузки - кв. 21, 27, 56, 60</t>
  </si>
  <si>
    <t>Монтаж выключателя нагрузки - кв. 65, 101, 105</t>
  </si>
  <si>
    <t>Монтаж выключателей нагрузки - кв. 9, 32</t>
  </si>
  <si>
    <t>Монтаж выключателей нагрузки - кв. 31</t>
  </si>
  <si>
    <t>Монтаж выключателей нагрузки - кв. 29</t>
  </si>
  <si>
    <t>Монтаж выключателей нагрузки - кв. 153</t>
  </si>
  <si>
    <t>Монтаж выключателей нагрузки - кв. 13</t>
  </si>
  <si>
    <t xml:space="preserve">Монтаж выключателей нагрузки - кв. 8, 10, 17 </t>
  </si>
  <si>
    <t xml:space="preserve">Демонтаж, монтаж провода </t>
  </si>
  <si>
    <t>Переразделка проводов (м-н "Форсаж")</t>
  </si>
  <si>
    <t>№132/12</t>
  </si>
  <si>
    <t>Установка оконных переплетов -3п.;навеска замка-2,4 п.;заделка отверстий - кв. 73,69; обшивка стен - кв.73</t>
  </si>
  <si>
    <t>№250/10</t>
  </si>
  <si>
    <t>Монтаж выключателя нагрузки - кв. 6</t>
  </si>
  <si>
    <t>№249/10</t>
  </si>
  <si>
    <t>Ремонт этажного освещения - 2 п.</t>
  </si>
  <si>
    <t>№146/12</t>
  </si>
  <si>
    <t>Монтаж питающей сети стояков по подвалу</t>
  </si>
  <si>
    <t>№145/12</t>
  </si>
  <si>
    <t>№144/12</t>
  </si>
  <si>
    <t>№143/12</t>
  </si>
  <si>
    <t>Замена розлива отопл-я (аварийное состояние)-5,6 п.</t>
  </si>
  <si>
    <t>№139/12</t>
  </si>
  <si>
    <t>Замена водовода ХВС - 5 п.</t>
  </si>
  <si>
    <t>№137/12</t>
  </si>
  <si>
    <t>Забивка дверей - 1, 2 п.</t>
  </si>
  <si>
    <t>№135/12</t>
  </si>
  <si>
    <t>№134/12</t>
  </si>
  <si>
    <t>Заделка отверстий - кв.53; установка пружин - 1 п.</t>
  </si>
  <si>
    <t>№133/12</t>
  </si>
  <si>
    <t>Устройство пароизоляции - кв. 37</t>
  </si>
  <si>
    <t>№131/12</t>
  </si>
  <si>
    <t>№130/12</t>
  </si>
  <si>
    <t>Заделка перекрытия -кв.37;забивка дверок на эл.шкафах- 4 п.</t>
  </si>
  <si>
    <t>№129/12</t>
  </si>
  <si>
    <t>Обшивка окон оргалитом - кв. 68;устройство пароиз-ии-кв.38,76; ремонт дверных коробок-3 п.;навеска замка-1, 4 п.</t>
  </si>
  <si>
    <t>№128/12</t>
  </si>
  <si>
    <t>Смена стекол - 2 п., кв. 77</t>
  </si>
  <si>
    <t>№127/12</t>
  </si>
  <si>
    <t>Закрытие окон -5 п.; навеска замка - 1 п.</t>
  </si>
  <si>
    <t>№126/12</t>
  </si>
  <si>
    <t>№125/12</t>
  </si>
  <si>
    <t>№124/12</t>
  </si>
  <si>
    <t>Смена стекол -  2 п., заделка отверстия в стене кирпичем -кв.24</t>
  </si>
  <si>
    <t>№123/12</t>
  </si>
  <si>
    <t>№122/12</t>
  </si>
  <si>
    <t>Навеска замка -элев., чердак; прочистка вент. каналов -кв.15</t>
  </si>
  <si>
    <t>№121/12</t>
  </si>
  <si>
    <t>№120/12</t>
  </si>
  <si>
    <t>Установка оконных переплетов - 2 п.</t>
  </si>
  <si>
    <t>№119/12</t>
  </si>
  <si>
    <t>Прочистка вент. каналов - кв.11,51,14; закрытие слух. окна-1 бл.; пробивка в стенах отверстий - кв. 24</t>
  </si>
  <si>
    <t>№118/12</t>
  </si>
  <si>
    <t>№117/12</t>
  </si>
  <si>
    <t>Промывка систем отопления</t>
  </si>
  <si>
    <t>№135/10</t>
  </si>
  <si>
    <t>№89/10</t>
  </si>
  <si>
    <t>Уборка, вывоз мусора</t>
  </si>
  <si>
    <t>№266/10</t>
  </si>
  <si>
    <t>Разборка трубопроводов из чугунных канализ. Труб кв 37</t>
  </si>
  <si>
    <t>№178/10</t>
  </si>
  <si>
    <t>Смена ламп накаливания, патронов кв.79.подвал</t>
  </si>
  <si>
    <t>Ремонт межпанельных швов</t>
  </si>
  <si>
    <t>№12/07</t>
  </si>
  <si>
    <t>Перепустили стояк отопления через подвал - кв. 18, 73</t>
  </si>
  <si>
    <t xml:space="preserve">Перепустили стояк отопления, п/сушит. через подвал </t>
  </si>
  <si>
    <t>Ревизия задвижек, вентилей - 1, 2 элеватор</t>
  </si>
  <si>
    <t>№67/04</t>
  </si>
  <si>
    <t>Замена ХВС, отопления</t>
  </si>
  <si>
    <t>№68/04</t>
  </si>
  <si>
    <t>Ремонт канализации - 1, 3 п.</t>
  </si>
  <si>
    <t>№73/04</t>
  </si>
  <si>
    <t>Перепустили стояк отопления через подвал - кв. 96, 98, 113, 63, 87, 103, 101</t>
  </si>
  <si>
    <t xml:space="preserve">Перепустили стояк отопления через подвал - кв. 55, 37, 40 </t>
  </si>
  <si>
    <t>83/04</t>
  </si>
  <si>
    <t>Замена стояка холодной, горячей воды - кв. 19</t>
  </si>
  <si>
    <t>№49/04</t>
  </si>
  <si>
    <t>№31/04</t>
  </si>
  <si>
    <t>№87/04</t>
  </si>
  <si>
    <t>Устройство ходов - 2 блок</t>
  </si>
  <si>
    <t>Обшивка отверстия ДСП, каркасных стен - 2 п.</t>
  </si>
  <si>
    <t>Смена дверных приборов, монтаж (сварка) решеток - 2 блок</t>
  </si>
  <si>
    <t>Заложен верх колодцев вент. шахты кирпичем - кв. 36, установка стекол - 1п.</t>
  </si>
  <si>
    <t>Монтаж решеток (сварка) - кв. 10, 3п.</t>
  </si>
  <si>
    <t>Навеска замка, установка дверных приборов - 1 блок</t>
  </si>
  <si>
    <t xml:space="preserve"> </t>
  </si>
  <si>
    <t>Перепустили стояк п/сушит. - кв. 40, отопления - кв. 29</t>
  </si>
  <si>
    <t>Замена стояка холодной воды - кв. 4, 8</t>
  </si>
  <si>
    <t>Замена вентилей по под. отоплению - 3 п.</t>
  </si>
  <si>
    <t>Перепустили стояк отопления через подвал - кв. 21</t>
  </si>
  <si>
    <t>Перепустили стояк п/сушит. - кв. 43</t>
  </si>
  <si>
    <t>№83/06</t>
  </si>
  <si>
    <t>Разборка, сборка элеваторного узла -  элеватор</t>
  </si>
  <si>
    <t>Разборка, сборка элеваторного узла -  1 элеватор</t>
  </si>
  <si>
    <t>Разборка, сборка элеваторного узла -  9 элеватор</t>
  </si>
  <si>
    <t>Разборка, сборка элев.узла- 1,2 элев.; установка заглушек -кв. 52; установка вентилей - кв. 54</t>
  </si>
  <si>
    <t>Смена вентилей - 1 блок; смена трубопроводов - кв. 54, 59</t>
  </si>
  <si>
    <t>Смена частей трубопровода - кв.15; сборка элев.узла - элев.</t>
  </si>
  <si>
    <t>Смена внутр. Трубопроводов - кв. 63</t>
  </si>
  <si>
    <t>Ревизия вентилей - кв. 18</t>
  </si>
  <si>
    <t>Замеры температуры давления гор. воды</t>
  </si>
  <si>
    <t>Смена внутр. трубопроводов - кв. 63</t>
  </si>
  <si>
    <t>Разборка и сборка элеваторного узла - 1, 2 элев.</t>
  </si>
  <si>
    <t>Установка вентилей, смена задвижек - элеватор</t>
  </si>
  <si>
    <t>Изготовление , установка поручней - 2 п.</t>
  </si>
  <si>
    <t>№64/06</t>
  </si>
  <si>
    <t>Окраска стены</t>
  </si>
  <si>
    <t>Демонтаж резьбы, установка вентилей - кв.43</t>
  </si>
  <si>
    <t>308/06</t>
  </si>
  <si>
    <t>Смена отдельных участков трубопроводов - 1 блок</t>
  </si>
  <si>
    <t>Уборка и вывоз мусора</t>
  </si>
  <si>
    <t>Сброс и наполнение стояков,смена вн. Трубопроводов кв. 24</t>
  </si>
  <si>
    <t>Погрузка песка, пескопосыпка</t>
  </si>
  <si>
    <t>№10/02</t>
  </si>
  <si>
    <t>Установка дверных приборов:петли 3 п.</t>
  </si>
  <si>
    <t>Ревизия задвижек</t>
  </si>
  <si>
    <t>№56/03</t>
  </si>
  <si>
    <t>№46/03</t>
  </si>
  <si>
    <t>1 под-д Врезки в действующие вн. Сети</t>
  </si>
  <si>
    <t>№110/12</t>
  </si>
  <si>
    <t>№109/12</t>
  </si>
  <si>
    <t>справка№2</t>
  </si>
  <si>
    <t>Чистка козырьков от снега</t>
  </si>
  <si>
    <t>справка№1</t>
  </si>
  <si>
    <t>справка№3</t>
  </si>
  <si>
    <t>Замеры температурного режима</t>
  </si>
  <si>
    <t>пр-з№152-11</t>
  </si>
  <si>
    <t>Установка двери</t>
  </si>
  <si>
    <t>Перепустили стояк отопления через подвал - кв. 36,</t>
  </si>
  <si>
    <t>Замена стояка канал-ии - кв. 8</t>
  </si>
  <si>
    <t>№69/07</t>
  </si>
  <si>
    <t>Очистка канализационной сети: внутренней - 5 п.</t>
  </si>
  <si>
    <t>Перепустили стояки отопления через подвал</t>
  </si>
  <si>
    <t>Ремонт подъездного освещения - 8 п.</t>
  </si>
  <si>
    <t>Монтаж кабеля, сжима</t>
  </si>
  <si>
    <t>Монтаж освещения в щитовой - 3 блок</t>
  </si>
  <si>
    <t>Ремонт щитовой - 1, 2 блок</t>
  </si>
  <si>
    <t>Замена транзита горячей воды</t>
  </si>
  <si>
    <t>Пробивка перекрытия, установка труб - кв. 91, 95</t>
  </si>
  <si>
    <t>Пробивка перекрытия, замена трубы - кв. 145, 149</t>
  </si>
  <si>
    <t>Очистка канализационной сети внутр. - кв. 59</t>
  </si>
  <si>
    <t>Замена канализационного стояка - подвал</t>
  </si>
  <si>
    <t>Прочистка ванны - кв. 39</t>
  </si>
  <si>
    <t>Ремонт электрооборудования</t>
  </si>
  <si>
    <t>Изготовление, установка штакетника</t>
  </si>
  <si>
    <t>№15/06</t>
  </si>
  <si>
    <t>Ремонт ГВС</t>
  </si>
  <si>
    <t>№24/06</t>
  </si>
  <si>
    <t>Ремонт шиферной кровли - кв. 109</t>
  </si>
  <si>
    <t>№38/06</t>
  </si>
  <si>
    <t>№37/06</t>
  </si>
  <si>
    <t>Изготовление, установка рам -  1 п.</t>
  </si>
  <si>
    <t>№53/06</t>
  </si>
  <si>
    <t xml:space="preserve">Смена водовода ХВС </t>
  </si>
  <si>
    <t>№57/06</t>
  </si>
  <si>
    <t>Ремонт подъезда - 1 п.</t>
  </si>
  <si>
    <t>№58/06</t>
  </si>
  <si>
    <t>Ремонт подъезда - 2 п.</t>
  </si>
  <si>
    <t>№81/06</t>
  </si>
  <si>
    <t>Ремонт полов</t>
  </si>
  <si>
    <t>№85/06</t>
  </si>
  <si>
    <t>Замена стояков отопления</t>
  </si>
  <si>
    <t>№70/06</t>
  </si>
  <si>
    <t>№62/06</t>
  </si>
  <si>
    <t>Замена водовода</t>
  </si>
  <si>
    <t>Заложена кирпичем дыра в подъезде - 5 п.</t>
  </si>
  <si>
    <t>Ремонт подвального освещения - 1, 2 подв.</t>
  </si>
  <si>
    <t>№33/01</t>
  </si>
  <si>
    <t>Ревизия ВРУ, этажных щитков, монтаж выключателя нагрузки</t>
  </si>
  <si>
    <t>Перепустили стояк отопления, п/сушит.</t>
  </si>
  <si>
    <t>Перепустили стояк отопления, п/сушит. через подвал</t>
  </si>
  <si>
    <t>Замена сборки на горячей воде - 1 п.</t>
  </si>
  <si>
    <t>Перепустили стояк отопления через подвал - кв. 64</t>
  </si>
  <si>
    <t>Ревизия вентилей - кв. 66</t>
  </si>
  <si>
    <t>Ревизия задвижек - 3 блок</t>
  </si>
  <si>
    <t>Передавили стояк ХВС - кв. 71, 67, 78</t>
  </si>
  <si>
    <t>Прочистка вент. каналов - кв. 3</t>
  </si>
  <si>
    <t>№33/11</t>
  </si>
  <si>
    <t>Очистка канал-ой сети</t>
  </si>
  <si>
    <t>Очистка канал-ой сети - 5 п.</t>
  </si>
  <si>
    <t>№48/11</t>
  </si>
  <si>
    <t>№52а/11</t>
  </si>
  <si>
    <t>Ремонт силового предлхранительного шкафа - ВРУ</t>
  </si>
  <si>
    <t>Очистка канализационной сети - 3 блок</t>
  </si>
  <si>
    <t>Очистка канализационной сети - кв. 5</t>
  </si>
  <si>
    <t>№31/11</t>
  </si>
  <si>
    <t>Остекление окон - 2 п.</t>
  </si>
  <si>
    <t>Ремонт мягкой кровли - кв. 25,27</t>
  </si>
  <si>
    <t>№44/11</t>
  </si>
  <si>
    <t>Изготовление,монтаж ограждений контейнерной площадки-2,3п.</t>
  </si>
  <si>
    <t>№04/06</t>
  </si>
  <si>
    <t>Замена внут.труб.Д-25мм</t>
  </si>
  <si>
    <t>№06/06</t>
  </si>
  <si>
    <t xml:space="preserve">температурные замеры </t>
  </si>
  <si>
    <t>температ.замеры</t>
  </si>
  <si>
    <t>температурные замеры</t>
  </si>
  <si>
    <t>температурн.замеры</t>
  </si>
  <si>
    <t>Смена гибких подводок, шарового крана - кв. 31</t>
  </si>
  <si>
    <t>Снятие замеров по гор. воде</t>
  </si>
  <si>
    <t>Установка вентилей - кв. 55</t>
  </si>
  <si>
    <t>Ревизия задвижек, вентилей</t>
  </si>
  <si>
    <t>Замена части стояка отопления - кв. 22 ,26</t>
  </si>
  <si>
    <t>Ревизия задвижек, вентилей - 1, 2, 3 блок</t>
  </si>
  <si>
    <t>Замена флянца на элеваторе</t>
  </si>
  <si>
    <t>Смена вентилей, сгонов - 1 элеватор</t>
  </si>
  <si>
    <t>Замена канал-го стояка - кв. 59</t>
  </si>
  <si>
    <t>Замена стояка канал-ии - кв. 88, 92</t>
  </si>
  <si>
    <t>Замена канал-го стояка - кв. 58; прочистка канал-ии - 4 блок</t>
  </si>
  <si>
    <t>Очистка канализационной сети - кв.1; замена канал.трубы-кв.15</t>
  </si>
  <si>
    <t>Замена канализационного стояка - кв. 43</t>
  </si>
  <si>
    <t>Очистка канализационной сети: внутренней - кв. 18</t>
  </si>
  <si>
    <t>Замена канал-го стояка - кв. 17</t>
  </si>
  <si>
    <t>Замена стояка канализации кв. 52</t>
  </si>
  <si>
    <t>Замена муфты в подвале - кв. 1</t>
  </si>
  <si>
    <t>Замена стояка - кв. 49</t>
  </si>
  <si>
    <t xml:space="preserve">Ремонт отопления - 4 п. </t>
  </si>
  <si>
    <t>№41/07</t>
  </si>
  <si>
    <t>№39/07</t>
  </si>
  <si>
    <t>№28/07</t>
  </si>
  <si>
    <t>Ремонт водосточных труб - 4 п.</t>
  </si>
  <si>
    <t>№26/07</t>
  </si>
  <si>
    <t>№21/07</t>
  </si>
  <si>
    <t>Ремонт подъезда - 4 п.</t>
  </si>
  <si>
    <t>Установка почтовых ящиков - 2, 3 п.</t>
  </si>
  <si>
    <t>№22/07</t>
  </si>
  <si>
    <t>Установка почтовых ящиков - 2 п.</t>
  </si>
  <si>
    <t>Заваривание свища на п/сушит. - кв. 63</t>
  </si>
  <si>
    <t>Перепустили стояк отопления через подвал - кв. 87, 10</t>
  </si>
  <si>
    <t>Прочистка засоров ХВС, ГВС - кв. 28</t>
  </si>
  <si>
    <t xml:space="preserve">Перепустили стояк отопления через подвал - кв. 26, 27, прочистка засоров ГВС, ХВС </t>
  </si>
  <si>
    <t>общестроительные работы - 8под.</t>
  </si>
  <si>
    <t>замеры темпер.</t>
  </si>
  <si>
    <t>закрытие подв.окна , забивка дверей</t>
  </si>
  <si>
    <t>справка№4</t>
  </si>
  <si>
    <t>установка рам</t>
  </si>
  <si>
    <t xml:space="preserve">смена стекол </t>
  </si>
  <si>
    <t>закрепили радиатор</t>
  </si>
  <si>
    <t>забили брошеную квартиру</t>
  </si>
  <si>
    <t>забили брошенную квартиру</t>
  </si>
  <si>
    <t>прибили жесть</t>
  </si>
  <si>
    <t>забили окно квартиры</t>
  </si>
  <si>
    <t>забили приямок спуска</t>
  </si>
  <si>
    <t xml:space="preserve">заделка перекрытия </t>
  </si>
  <si>
    <t>забивка брошенной квартиры</t>
  </si>
  <si>
    <t>справка№7</t>
  </si>
  <si>
    <t>забили окно над козырьком - 2п.</t>
  </si>
  <si>
    <t>забили слух.окно - 1п.</t>
  </si>
  <si>
    <t>забили петлю на люк - 2п.</t>
  </si>
  <si>
    <t>заварили подвальное окно</t>
  </si>
  <si>
    <t>остекление - 4п.</t>
  </si>
  <si>
    <t>остекление - 2п.</t>
  </si>
  <si>
    <t>справка№6</t>
  </si>
  <si>
    <t>Изготовление, установка рам - 4 п.</t>
  </si>
  <si>
    <t>№05/06</t>
  </si>
  <si>
    <t>№47/06</t>
  </si>
  <si>
    <t>Прочистка стояка ХВС - кв. 38</t>
  </si>
  <si>
    <t>Замена стояка гор. воды в подвале - кв. 50, 51</t>
  </si>
  <si>
    <t>Установка заглушек</t>
  </si>
  <si>
    <t>Сброс,наполнение стояков ХВС,ГВС,смена вентилей - кв. 51</t>
  </si>
  <si>
    <t>Вваривание резьбы - кв. 115</t>
  </si>
  <si>
    <t>Смена задвижек - 1 блок; прочистка стояка - кв. 58; смена внутр. трубопроводов - кв. 14</t>
  </si>
  <si>
    <t>смена шарового кранв смывного бачка - кв. 36</t>
  </si>
  <si>
    <t>Ревизия задвижек, вентилей - элеватор</t>
  </si>
  <si>
    <t>Ревизия задвижек, вентилей - 1 элеватор</t>
  </si>
  <si>
    <t>справка, пл.пор. №245 от 18.08.11</t>
  </si>
  <si>
    <t>пл.пор. № 172 от 16.06.11</t>
  </si>
  <si>
    <t>Замена стояка кв.77,73</t>
  </si>
  <si>
    <t>№07/117</t>
  </si>
  <si>
    <t>Прочистка канализации кв.79</t>
  </si>
  <si>
    <t>Набивка сальников кв.96</t>
  </si>
  <si>
    <t>№07/1-2</t>
  </si>
  <si>
    <t>Промывка системы отопления и элеваторного узла. Элеватор-3</t>
  </si>
  <si>
    <t>№07/85</t>
  </si>
  <si>
    <t>Деф.вед.</t>
  </si>
  <si>
    <t>Валка и вывозка деревьев</t>
  </si>
  <si>
    <t>№09/30</t>
  </si>
  <si>
    <t>Замена стояка полотенцесуш.кв.42</t>
  </si>
  <si>
    <t>№09/23</t>
  </si>
  <si>
    <t>№09/19</t>
  </si>
  <si>
    <t>св.акт № 2/1</t>
  </si>
  <si>
    <t>с/ф № 3/4/1/026863 от 30.06.11, с/ф № 3/4/1/028447 от 31.07.11</t>
  </si>
  <si>
    <t>Смена вентильной задвижки, элеватор</t>
  </si>
  <si>
    <t>Проверка давления и темп-ного режима. Эл. - 1</t>
  </si>
  <si>
    <t>Ремонт ХВС, ГВС -1,2п.</t>
  </si>
  <si>
    <t>№50/05</t>
  </si>
  <si>
    <t>уборка мусора из подвала</t>
  </si>
  <si>
    <t>Замена сборок по отоплению -подвал</t>
  </si>
  <si>
    <t>Смена вентиля ГВС -подвал</t>
  </si>
  <si>
    <t>Смена вентиля -подвал</t>
  </si>
  <si>
    <t>Ликвидация воздушных пробок кв.55,59</t>
  </si>
  <si>
    <t>№42/03</t>
  </si>
  <si>
    <t>Разборка трубопроводов из чугунных канализ.труб кв.10</t>
  </si>
  <si>
    <t>Сброс и наполнение стояков хвс, гвс кв.18,19</t>
  </si>
  <si>
    <t>№27/03</t>
  </si>
  <si>
    <t>Разборка трубопроводов кв.18</t>
  </si>
  <si>
    <t>Ликвидация воздушных пробок кв.64</t>
  </si>
  <si>
    <t>№32/04</t>
  </si>
  <si>
    <t>Установка полотен 1 п-д</t>
  </si>
  <si>
    <t>Смена отдельных участков трубопроводов 3 п.</t>
  </si>
  <si>
    <t>№02/04</t>
  </si>
  <si>
    <t>Установка зонтов над шахтами из листовой стали кв.40</t>
  </si>
  <si>
    <t>№44/05</t>
  </si>
  <si>
    <t>Слив и наполнение стояков - подвал</t>
  </si>
  <si>
    <t>№07/05</t>
  </si>
  <si>
    <t>Разборка трубопроводов из чугунных канализ.труб кв.61</t>
  </si>
  <si>
    <t>№59/06</t>
  </si>
  <si>
    <t>Ремонт дверных полотен со сменой брусков  - 3п.</t>
  </si>
  <si>
    <t>№21/06</t>
  </si>
  <si>
    <t>№83/07</t>
  </si>
  <si>
    <t>Смена вентилей - подвал</t>
  </si>
  <si>
    <t>№48/07</t>
  </si>
  <si>
    <t>Прочистка засоров - 4</t>
  </si>
  <si>
    <t>№10/07</t>
  </si>
  <si>
    <t>Переразделка проводов - газгольдерная</t>
  </si>
  <si>
    <t>№171/09</t>
  </si>
  <si>
    <t xml:space="preserve">Смена сгонов,очистка канализ. Сети - </t>
  </si>
  <si>
    <t>№67/09</t>
  </si>
  <si>
    <t>Демонтаж скрытой эл.проводки.Установка предохранителей1-4 под-ды</t>
  </si>
  <si>
    <t>№24/09</t>
  </si>
  <si>
    <t>Справка</t>
  </si>
  <si>
    <t>Очистка козырьков - 4 шт.</t>
  </si>
  <si>
    <t xml:space="preserve">Очистка козырьков </t>
  </si>
  <si>
    <t>Проверка исправности канализ. Вытяжек</t>
  </si>
  <si>
    <t>с/ф№1182 от 16.05.11,с/ф№1743 от 29.06.11,с/ф№2048 от 25.07.11</t>
  </si>
  <si>
    <t>Забивка балконных дверей - 1, 2 блок</t>
  </si>
  <si>
    <t>№26/11</t>
  </si>
  <si>
    <t>Замена части транзита по отоплению - кв. 97, 93</t>
  </si>
  <si>
    <t>№25/11</t>
  </si>
  <si>
    <t>Смена сгонов - кв.52; смена унитаза - кв. 85</t>
  </si>
  <si>
    <t>№24/11</t>
  </si>
  <si>
    <t>Прочистка вентканалов - кв. 2</t>
  </si>
  <si>
    <t>Прочистка вент. каналов - кв. 29</t>
  </si>
  <si>
    <t>№23/11</t>
  </si>
  <si>
    <t>Очистка канализационной сети - кв. 63</t>
  </si>
  <si>
    <t>№29/11</t>
  </si>
  <si>
    <t xml:space="preserve">Остекление окон </t>
  </si>
  <si>
    <t>Остекление окон - 9 п.</t>
  </si>
  <si>
    <t>Остекление окон</t>
  </si>
  <si>
    <t>№02/12</t>
  </si>
  <si>
    <t>декабрь</t>
  </si>
  <si>
    <t>посыпка песком дв.территории</t>
  </si>
  <si>
    <t>посыпка песком дв. территорий</t>
  </si>
  <si>
    <t>Посыпка песком двор.территорий</t>
  </si>
  <si>
    <t>Уборка , вывоз мусора</t>
  </si>
  <si>
    <t>№11/12</t>
  </si>
  <si>
    <t>№10/12</t>
  </si>
  <si>
    <t>№09/12</t>
  </si>
  <si>
    <t>№08/12</t>
  </si>
  <si>
    <t>Ремонт подъезда - 2 под.</t>
  </si>
  <si>
    <t>№153/09</t>
  </si>
  <si>
    <t>№152/09</t>
  </si>
  <si>
    <t>Ремонт трассы отопления</t>
  </si>
  <si>
    <t>№151/09</t>
  </si>
  <si>
    <t>Замена стояков х/в и г/в - кв.16, замена стояка канализации - кв.19,16, врезка вентилей - 5элеватор, замена сборки - 7подвал, вэлеваторе подварен тройник - 5элеватор( 8под.), замена стояков х/в и г/в - кв.97,99,95,  пробили канализац.лежак - 1под.</t>
  </si>
  <si>
    <t>Установка полотен - 8 п.;перенавеска дверн. приборов-7 п.;заделка перекрытия - кв. 18,29,19,16,22; обшивка окон-1 п.;устройство ходов - 5 п.</t>
  </si>
  <si>
    <t>№108/12</t>
  </si>
  <si>
    <t>№107/12</t>
  </si>
  <si>
    <t>Смена задвижек - элеватор</t>
  </si>
  <si>
    <t>№52/07</t>
  </si>
  <si>
    <t>Вваривание резьбы, установка вентилей - подвал</t>
  </si>
  <si>
    <t>Смена внутр. трубопроводов, установка вентилей - элев.</t>
  </si>
  <si>
    <t>Ревизия вентилей  - кв.13</t>
  </si>
  <si>
    <t>Смена внутр. трубопроводов - кв. 49, 52</t>
  </si>
  <si>
    <t>Ремонт подъездного освещения</t>
  </si>
  <si>
    <t>№56/07</t>
  </si>
  <si>
    <t>№75/07</t>
  </si>
  <si>
    <t>Ремонт электрооборудования - кв. 5, 114</t>
  </si>
  <si>
    <t>Промазка примыканий мастикой - кв. 17</t>
  </si>
  <si>
    <t>Валка деревьев - 4 п.</t>
  </si>
  <si>
    <t>Навеска замка - 1 блок; смена стекол - 1,4 п.</t>
  </si>
  <si>
    <t>№81/07</t>
  </si>
  <si>
    <t>Обшивка каркасных стен - 1, 8 п.</t>
  </si>
  <si>
    <t>Устройство пароизоляции - кв. 45</t>
  </si>
  <si>
    <t>Замена сборок по х/в, г/в - подвал</t>
  </si>
  <si>
    <t>Смена вентилей, прочистка засоров ХВС, ГВС - кв. 78</t>
  </si>
  <si>
    <t>Ревизия задвижек, вентилей -  1, 2, 3, 4 блок</t>
  </si>
  <si>
    <t>Замена подводки к п/сушит. - кв. 11</t>
  </si>
  <si>
    <t>Промывка радиаторов отопления - кв. 5</t>
  </si>
  <si>
    <t>Приваривание сгона - кв. 7; вваривание резьбы - кв. 74</t>
  </si>
  <si>
    <t>Обшивка дверей досками - 1 п.</t>
  </si>
  <si>
    <t>№137/10</t>
  </si>
  <si>
    <t>Частичный ремонт кровли,смена стекол-кв.62,31,2п.</t>
  </si>
  <si>
    <t>Установка дверок поч/ящ.- 5 п.; снятие рам - 2 п.</t>
  </si>
  <si>
    <t>Переразделка провода -кв. 14,20</t>
  </si>
  <si>
    <t>№173/10</t>
  </si>
  <si>
    <t>№172/10</t>
  </si>
  <si>
    <t>Установка отключающих устройств - кв.15;монтаж патрона-1 п.</t>
  </si>
  <si>
    <t>№171/10</t>
  </si>
  <si>
    <t>Установка отк-их устройств- кв. 82; переразделка провода-кв.8</t>
  </si>
  <si>
    <t>№170/10</t>
  </si>
  <si>
    <t>Переразделка провода, смена ламп - кв. 19,65,69</t>
  </si>
  <si>
    <t>№169/10</t>
  </si>
  <si>
    <t>Установка откл-их устройств - кв. 6</t>
  </si>
  <si>
    <t>№167/10</t>
  </si>
  <si>
    <t>Монтаж патрона, смена ламп - кв. 12</t>
  </si>
  <si>
    <t>№166/10</t>
  </si>
  <si>
    <t>Блок резистров - кв. 66</t>
  </si>
  <si>
    <t>№165/10</t>
  </si>
  <si>
    <t>Монтаж провода, смена ламп - кв. 77,97</t>
  </si>
  <si>
    <t>№164/10</t>
  </si>
  <si>
    <t>Заваривание свища по отопл.- кв.77</t>
  </si>
  <si>
    <t>№162/10</t>
  </si>
  <si>
    <t>Смена стояка отопления - кв. 37</t>
  </si>
  <si>
    <t>№160/10</t>
  </si>
  <si>
    <t>Замена стояка п/суш.- кв.24; прочистка воды х/в</t>
  </si>
  <si>
    <t>№158/10</t>
  </si>
  <si>
    <t>Замена подводки х/в - кв. 42, 43; установка перемычки по стояку отопл. - кв.23; замена пробки на радиаторе - кв. 77</t>
  </si>
  <si>
    <t>Пробко-спусковой канал,кв.72</t>
  </si>
  <si>
    <t>Ремонт сопла</t>
  </si>
  <si>
    <t>№11/11</t>
  </si>
  <si>
    <t>Ремонт стояка,кв.94,28,24</t>
  </si>
  <si>
    <t>Замена стояка кв.2</t>
  </si>
  <si>
    <t>№11/1</t>
  </si>
  <si>
    <t>№11/43</t>
  </si>
  <si>
    <t>Прочистка стояка,кв.28</t>
  </si>
  <si>
    <t>Прочистка,кв.28</t>
  </si>
  <si>
    <t>Завоз песка, посыпка песком дворовых территорий</t>
  </si>
  <si>
    <t>№38/01</t>
  </si>
  <si>
    <t>Демонтаж, монтаж светильников - 5-8 п.</t>
  </si>
  <si>
    <t>№37/01</t>
  </si>
  <si>
    <t>Отчет ООО УК "Наш дом" по выполненным работам за 2011г. по адресу пр. Комсомольский,1</t>
  </si>
  <si>
    <t>Дезинсекция и дератизация</t>
  </si>
  <si>
    <t>Прочистка канализ.в подвале - 2под. Замена розлива по отоплению в подвале. Замена транзита по отоплению - 1под. Снятие , установка тройника, рассверление сопла</t>
  </si>
  <si>
    <t>№06/12</t>
  </si>
  <si>
    <t>№05/12</t>
  </si>
  <si>
    <t>№04/12</t>
  </si>
  <si>
    <t>Ремонт электрооборудования - кв. 8, 16, 26, 33</t>
  </si>
  <si>
    <t>Прибор измерения и защиты. кв.73</t>
  </si>
  <si>
    <t>Ремонт мягкой кровли - кв. 15, 16, 17</t>
  </si>
  <si>
    <t>№64/07</t>
  </si>
  <si>
    <t>№67/07</t>
  </si>
  <si>
    <t>Изготовление, монтаж ограждений контейнерной площадки</t>
  </si>
  <si>
    <t>№84/07</t>
  </si>
  <si>
    <t>Ремонт мягкой кровли - кв. 32, 34</t>
  </si>
  <si>
    <t>Замена отопления</t>
  </si>
  <si>
    <t>№77/07</t>
  </si>
  <si>
    <t>№09/93</t>
  </si>
  <si>
    <t>Пробивка вент.шахты кв.35,73</t>
  </si>
  <si>
    <t>№09/69</t>
  </si>
  <si>
    <t>Демонтаж радиаторов отоплен. - кв.9</t>
  </si>
  <si>
    <t>Замена канализационного стояка - кв.19</t>
  </si>
  <si>
    <t>№181/09</t>
  </si>
  <si>
    <t>Промывка радиаторов отопления - кв.34</t>
  </si>
  <si>
    <t>№182/09</t>
  </si>
  <si>
    <t>Перепускание п/сушит.вподвале - кв.28</t>
  </si>
  <si>
    <t>Замена подводки отопления кв.75,96, подвал</t>
  </si>
  <si>
    <t>Переборка сборки, вваривание резьбы - кв. 65</t>
  </si>
  <si>
    <t>Ревизия вентилей - 1, 2, 3 блок</t>
  </si>
  <si>
    <t>Перепустили стояк п/сушит. через подвал - кв. 119</t>
  </si>
  <si>
    <t>Установка канализационной трубы на крыше - кв. 45</t>
  </si>
  <si>
    <t>Очистка канализационной сети внутр. - кв. 23</t>
  </si>
  <si>
    <t>№36/04</t>
  </si>
  <si>
    <t>Ремонт освещения - 2 блок</t>
  </si>
  <si>
    <t>Ремонт освещения - 3 блок</t>
  </si>
  <si>
    <t>Ремонт освещения - кв. 61</t>
  </si>
  <si>
    <t>Заделка перекрытия - кв. 49</t>
  </si>
  <si>
    <t>Установка полотен - 1 п.</t>
  </si>
  <si>
    <t>Ревизия ВРУ</t>
  </si>
  <si>
    <t>Ревизия РВУ</t>
  </si>
  <si>
    <t>№32/01</t>
  </si>
  <si>
    <t>Замена розлива ХВС</t>
  </si>
  <si>
    <t>Сброс и наполнеиние стояков ХВС, ГВС, смена сгонов, установка вентилей</t>
  </si>
  <si>
    <t>Перепустили стояк отопления через подвал - кв. 43</t>
  </si>
  <si>
    <t>Перепустили стояк отопления через подвал - кв. 25</t>
  </si>
  <si>
    <t>Перемотали пробку, к/гайку к радиатору - кв. 23</t>
  </si>
  <si>
    <t>Ревизия вентилей - кв. 23</t>
  </si>
  <si>
    <t>Замена стояка горячей воды в подвале - 3 п.</t>
  </si>
  <si>
    <t>Замена вентилей</t>
  </si>
  <si>
    <t>Аварийный ремонт ХВС - 1, 2 п.</t>
  </si>
  <si>
    <t>№14/04</t>
  </si>
  <si>
    <t>Замена разводки отопления</t>
  </si>
  <si>
    <t>Ремонт лестничных ограждений - 4 п.</t>
  </si>
  <si>
    <t>№08/04</t>
  </si>
  <si>
    <t>№73/09</t>
  </si>
  <si>
    <t>Установка выключателей нагрузки - кв.33</t>
  </si>
  <si>
    <t>№74/09</t>
  </si>
  <si>
    <t>Ревизия ВРУ,установка выключателей нагрузки - кв.3,42,43</t>
  </si>
  <si>
    <t>№75/09</t>
  </si>
  <si>
    <t>№76/09</t>
  </si>
  <si>
    <t>№79/09</t>
  </si>
  <si>
    <t>Ремонт подъездн.освещен. - 2п.,установка выключ.- кв.8</t>
  </si>
  <si>
    <t>№80/09</t>
  </si>
  <si>
    <t>Ремонт этажн.освещен., установка выключателей - 86,46,78,73</t>
  </si>
  <si>
    <t>Сброс и наполнение стояков ХВС, ГВС - кв. 11; 24</t>
  </si>
  <si>
    <t>Ревизия вентилей</t>
  </si>
  <si>
    <t>Замена канализационного стояка, установка муфты - кв. 40, замена трубы  ПВХ, установка перехода, муфты</t>
  </si>
  <si>
    <t>Произведен частичный ремонт мягкой кровли рубемастом - кв. 15, 16, 17</t>
  </si>
  <si>
    <t>Навеска замка - 1 блок</t>
  </si>
  <si>
    <t>Ремонт дверных полотен со сменой брусков  - 3 п.</t>
  </si>
  <si>
    <t xml:space="preserve">Установка дверных блоков - 4 п.; приборов - 3 п. </t>
  </si>
  <si>
    <t>Ремонт тамбура - 2 п.</t>
  </si>
  <si>
    <t>Навеска замака - элеватор</t>
  </si>
  <si>
    <t>Навеска замка - 1 п.</t>
  </si>
  <si>
    <t>Ремонт штакетника - 4 п.</t>
  </si>
  <si>
    <t>Смена стекол - кв. 119</t>
  </si>
  <si>
    <t>очистка крыши от снега</t>
  </si>
  <si>
    <t>№6/05</t>
  </si>
  <si>
    <t>Открытие и закрытие задвижек</t>
  </si>
  <si>
    <t>Санитарное облуживание домов</t>
  </si>
  <si>
    <t>АДС</t>
  </si>
  <si>
    <t>Затраты АРКЦ И УК</t>
  </si>
  <si>
    <t>Начислено: текущий ремонт и обслуживание:</t>
  </si>
  <si>
    <t>Начислено: кап.ремонт (в т.ч. средства за найм)</t>
  </si>
  <si>
    <t>Подметание,очистка 1,2,3 блока</t>
  </si>
  <si>
    <t>№09/15</t>
  </si>
  <si>
    <t>Утепление двери блок 1,3</t>
  </si>
  <si>
    <t>№09/10</t>
  </si>
  <si>
    <t>Прочистка канал. По подвалу, блок 2</t>
  </si>
  <si>
    <t>№09/94</t>
  </si>
  <si>
    <t>Установка канал. Стояка,подвал-6</t>
  </si>
  <si>
    <t>Сброс и наполнение стояков ХВС, ГВС, временная заделка свищей и трещин на внутр.трубопроводах и стояках - кв. 17</t>
  </si>
  <si>
    <t>Сброс и аполнение стояков ХВС, ГВС, смена сгонов, установка радиаторных пробок - кв. 36</t>
  </si>
  <si>
    <t>Сброс и наполнение стояков ХВС, ГВС, смена сгонов, установка вентилей - кв. 13</t>
  </si>
  <si>
    <t>№79/02</t>
  </si>
  <si>
    <t>ремонт помещения элеваторного узла - 3 п.</t>
  </si>
  <si>
    <t>№73/02</t>
  </si>
  <si>
    <t>Замена ХВС</t>
  </si>
  <si>
    <t>№76/02</t>
  </si>
  <si>
    <t>Ликвидация воздушных пробок в стояках - кв. 38</t>
  </si>
  <si>
    <t>№ 80/02</t>
  </si>
  <si>
    <t>№89/01</t>
  </si>
  <si>
    <t>№68/02</t>
  </si>
  <si>
    <t>№14/02</t>
  </si>
  <si>
    <t>№15/02</t>
  </si>
  <si>
    <t>Восстановление лестничных огрждений - 1 п.</t>
  </si>
  <si>
    <t>№12/02</t>
  </si>
  <si>
    <t>Установка металлической двери</t>
  </si>
  <si>
    <t>№22/02</t>
  </si>
  <si>
    <t>№08/02</t>
  </si>
  <si>
    <t>Ремонт помещения элеваторного узла - 1 п.</t>
  </si>
  <si>
    <t>№34/02</t>
  </si>
  <si>
    <t>Ремонт помещения элеваторного узла</t>
  </si>
  <si>
    <t>№30/02</t>
  </si>
  <si>
    <t>№37/02</t>
  </si>
  <si>
    <t>№39/02</t>
  </si>
  <si>
    <t>Проверка давления и темп-го режима в системе отопления.Эл.-1</t>
  </si>
  <si>
    <t>№11/1-3</t>
  </si>
  <si>
    <t>№12/25</t>
  </si>
  <si>
    <t>Замена запорной арматуры,кв.68</t>
  </si>
  <si>
    <t>Пробивка перекрытия перфоратором, замена стояка горячей воды - кв. 50, 53</t>
  </si>
  <si>
    <t>замена подводок  к радиатору с г/св, приваривание сгона, установка радиаторных пробок - кв. 71</t>
  </si>
  <si>
    <t>№19/04</t>
  </si>
  <si>
    <t>Замена ст.отопления 4 под-д</t>
  </si>
  <si>
    <t>№:/04</t>
  </si>
  <si>
    <t>Замена стояка канализации кв.50</t>
  </si>
  <si>
    <t>№09/04</t>
  </si>
  <si>
    <t>№17/05</t>
  </si>
  <si>
    <t>Очистка козырьков от снега</t>
  </si>
  <si>
    <t>Уборка лестничных клеток и придомовой территори</t>
  </si>
  <si>
    <t>№02/03</t>
  </si>
  <si>
    <t>Ревизия ВРУ, этажных щитков</t>
  </si>
  <si>
    <t>№21/03</t>
  </si>
  <si>
    <t>Посыпка песком дворовых территорий</t>
  </si>
  <si>
    <t>№75/03</t>
  </si>
  <si>
    <t>Ремонт водосточных труб</t>
  </si>
  <si>
    <t>№07/41</t>
  </si>
  <si>
    <t>Покос</t>
  </si>
  <si>
    <t>№58/01</t>
  </si>
  <si>
    <t xml:space="preserve">Ликвидация воздушных пробок в стояках - 1 п.; смена внутр. трубопроводов - кв. 6 </t>
  </si>
  <si>
    <t>Температурные замеры с т/сетями</t>
  </si>
  <si>
    <t>Отогрев стояка</t>
  </si>
  <si>
    <t>Сбивание наледи с кровли</t>
  </si>
  <si>
    <t>№40/05</t>
  </si>
  <si>
    <t xml:space="preserve">Ремонт стоячной разводки </t>
  </si>
  <si>
    <t>№29/05</t>
  </si>
  <si>
    <t>№23/05</t>
  </si>
  <si>
    <t>Ремонт стоячной разводки 1 п.</t>
  </si>
  <si>
    <t>№16/06</t>
  </si>
  <si>
    <t>Начислено: содержание и текущий ремонт за период с 01.04.2008г по 31.12.2011г.</t>
  </si>
  <si>
    <t>Оплачено:содержание и текущий ремонт за период с 01.04.2008г по 31.12.2011г.</t>
  </si>
  <si>
    <t>Выполнено работ: содержание и текущий ремонт за период с 01.04.2008г по 31.12.2011г.</t>
  </si>
  <si>
    <t>Начислено:капитальный ремонт за период за период с 01.04.2008г. по 31.12.2011г.</t>
  </si>
  <si>
    <t>Ремонтно -инженерные работы в кв.20,28,54,66,67,68</t>
  </si>
  <si>
    <t>Перепущен стояк отопления;смена вентилей - кв. 21, 61; очистка канализац. сети - 1 блок</t>
  </si>
  <si>
    <t>№255/10</t>
  </si>
  <si>
    <t>Очистка канализац. сети - 1 блок; замена канал-ии - кв. 65; перепущен стояк отопления - кв. 92,27,93,74,116,75,26; смена сгонов, радиаторных пробок - кв. 89</t>
  </si>
  <si>
    <t>№173/09</t>
  </si>
  <si>
    <t>Заварили свищ по стояку х/в кв.38, очистка канализац.сети: внутренней - подвал, пробивка лежака через подвал.</t>
  </si>
  <si>
    <t>№174/09</t>
  </si>
  <si>
    <t>№175/09</t>
  </si>
  <si>
    <t>Замена канализац.стояка - кв.77,73. Очистка канализац. Сети: внутренней - кв.61</t>
  </si>
  <si>
    <t>№176/09</t>
  </si>
  <si>
    <t>Смена уплотнителя на заглушке(магаз. Галантерея), замена канализационного стояка - кв.62</t>
  </si>
  <si>
    <t>№178/09</t>
  </si>
  <si>
    <t>Замеры воды в элеваторе. Замена подводки к радиатору - кв.35. Замена канализац.стояка - кв.24</t>
  </si>
  <si>
    <t>№179/09</t>
  </si>
  <si>
    <t>св.акт №2/1</t>
  </si>
  <si>
    <t>Проведение профосмотров</t>
  </si>
  <si>
    <t>Заварили свищ по стояку х/в - кв.11. Заварили свищ по отоплен.- кв.6</t>
  </si>
  <si>
    <t>№183/09</t>
  </si>
  <si>
    <t>Заварили свищ на п/сушителе - кв.22</t>
  </si>
  <si>
    <t>№184/09</t>
  </si>
  <si>
    <t>Установка сопел</t>
  </si>
  <si>
    <t>№185/09</t>
  </si>
  <si>
    <t>Замена канализационного стояка (маг. Комиссионный)</t>
  </si>
  <si>
    <t>№186/09</t>
  </si>
  <si>
    <t>Замена стояка г/в - 1блок.  Замена розлива х/в - 2блок</t>
  </si>
  <si>
    <t>№187/09</t>
  </si>
  <si>
    <t>№188/09</t>
  </si>
  <si>
    <t>Ремонт мягкой кровли - кв.51,59</t>
  </si>
  <si>
    <t>№189/09</t>
  </si>
  <si>
    <t>Ремонт водосточных труб - кв.1</t>
  </si>
  <si>
    <t>№154/09</t>
  </si>
  <si>
    <t xml:space="preserve">Прочистка вент. каналов - кв. 31 </t>
  </si>
  <si>
    <t>Прочистка вент. каналов - кв. 87</t>
  </si>
  <si>
    <t>Переразделка проводов - кв. 73</t>
  </si>
  <si>
    <t>№176/10</t>
  </si>
  <si>
    <t>№174/10</t>
  </si>
  <si>
    <t>Демонтаж скрытой электропроводки - 6 п.</t>
  </si>
  <si>
    <t>Забивка штрабы ДСП б/у. Укрепл-е оконных коробок кв.2п.</t>
  </si>
  <si>
    <t>Навеска замка,кв 94-закреп-е жести.4п.установка полотен</t>
  </si>
  <si>
    <t>Забивка штрабы ДСП б/у - 2 п.;укреп-е окон. коробок-3 п.</t>
  </si>
  <si>
    <t xml:space="preserve">Дезинсекция и дератизация </t>
  </si>
  <si>
    <t>Отчет ООО УК "Наш дом" по выполненным работам за 2011г. по адресу пр. Комсомольский,4</t>
  </si>
  <si>
    <t>Заделка перекрытия - кв. 3</t>
  </si>
  <si>
    <t>Замена спуска в подвал - 2 блок</t>
  </si>
  <si>
    <t>Разборка обшивки, забивка дверей - кв. 14</t>
  </si>
  <si>
    <t>Изготовление трапов из досок - подвал</t>
  </si>
  <si>
    <t>№54/03</t>
  </si>
  <si>
    <t>№52/03</t>
  </si>
  <si>
    <t>№51/03</t>
  </si>
  <si>
    <t>Замена канализационной разводки</t>
  </si>
  <si>
    <t>№ Акта</t>
  </si>
  <si>
    <t>Месяц по КС-3</t>
  </si>
  <si>
    <t>вид работ</t>
  </si>
  <si>
    <t>Сумма, руб.</t>
  </si>
  <si>
    <t>и того</t>
  </si>
  <si>
    <t>Текущий ремонт</t>
  </si>
  <si>
    <t>ГВС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</si>
  <si>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</si>
  <si>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</si>
  <si>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</si>
  <si>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</si>
  <si>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</si>
  <si>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</si>
  <si>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</si>
  <si>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</si>
  <si>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</si>
  <si>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</si>
  <si>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</si>
  <si>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</si>
  <si>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ХВС</t>
  </si>
  <si>
    <t>Отопление</t>
  </si>
  <si>
    <t>Канализация</t>
  </si>
  <si>
    <t>Подъездное отопление</t>
  </si>
  <si>
    <t>Ремонт кровли</t>
  </si>
  <si>
    <t>Строительные работы</t>
  </si>
  <si>
    <t>Плотницкие работы</t>
  </si>
  <si>
    <t>Двери</t>
  </si>
  <si>
    <t>Ремонт подъездов</t>
  </si>
  <si>
    <t>Благоустройство</t>
  </si>
  <si>
    <t>Электрооборудование</t>
  </si>
  <si>
    <t>Техобслуживание</t>
  </si>
  <si>
    <t>Изготовление и установка ограждения для мусороконтейнерной площадки</t>
  </si>
  <si>
    <t>Ревизия вентилей - 2п.;замена транзита - 2, 4 п.</t>
  </si>
  <si>
    <t>№75/11</t>
  </si>
  <si>
    <t>№07/12</t>
  </si>
  <si>
    <t>Отчет ООО УК "Наш дом" по выполненным работам за 2011г. по адресу пр. Комсомольский,2</t>
  </si>
  <si>
    <t>Демонтаж решеток - 1 п.</t>
  </si>
  <si>
    <t xml:space="preserve">Монтаж решеток - 2 блок; заделка отверстий, гнезд, борозд - кв. 38, 42 </t>
  </si>
  <si>
    <t>Забивка слуховых окон - 1 блок</t>
  </si>
  <si>
    <t>Очистка канализационной сети внутр. - кв. 84</t>
  </si>
  <si>
    <t>Навеска замка - чердак</t>
  </si>
  <si>
    <t>Навеска замка; заделка отверстий, гнезд, борозд - кв. 2</t>
  </si>
  <si>
    <t>Навеска замка</t>
  </si>
  <si>
    <t>Обшивка каркасных стен - 2 п.</t>
  </si>
  <si>
    <t>Устройство короба - 8 п.</t>
  </si>
  <si>
    <t>Ремонт электрооборудования - кв. 27, 62</t>
  </si>
  <si>
    <t>Ремонт электрооборудования - кв. 11</t>
  </si>
  <si>
    <t>Изготовление, установка козырьков - 1, 2, 4</t>
  </si>
  <si>
    <t>Замена розлива отопления - 3 п.</t>
  </si>
  <si>
    <t>Замена стояков п/сушит. - кв. 81</t>
  </si>
  <si>
    <t>Перепустили стояк п/сушит. через подвал - кв. 10</t>
  </si>
  <si>
    <t>Смена сгонов, радиаторных пробок - кв. 23</t>
  </si>
  <si>
    <t>Замена части подводки п/сушит. - кв. 39</t>
  </si>
  <si>
    <t>Замена стояка п/сушит. - кв. 46</t>
  </si>
  <si>
    <t>Заменры давления</t>
  </si>
  <si>
    <t>Перемотка 2-х к/гаек на подв. к радиатору</t>
  </si>
  <si>
    <t>Замена вентилей - кв. 12</t>
  </si>
  <si>
    <t>№18/09</t>
  </si>
  <si>
    <t>№17/09</t>
  </si>
  <si>
    <t>№19,09</t>
  </si>
  <si>
    <t>№20/09</t>
  </si>
  <si>
    <t>№22/09</t>
  </si>
  <si>
    <t>№23/09</t>
  </si>
  <si>
    <t>№25/09</t>
  </si>
  <si>
    <t>№26/09</t>
  </si>
  <si>
    <t>№28/09</t>
  </si>
  <si>
    <t>№27/09</t>
  </si>
  <si>
    <t>№30/09</t>
  </si>
  <si>
    <t>№33/09</t>
  </si>
  <si>
    <t>№34/09</t>
  </si>
  <si>
    <t>ремонт водосточных труб -2п.</t>
  </si>
  <si>
    <t>№35/09</t>
  </si>
  <si>
    <t>Монтаж ограждений к/площадки</t>
  </si>
  <si>
    <t>Изготовл., монтаж ограждений к/площадки</t>
  </si>
  <si>
    <t>Изготовл., установка рам, остекление - 2п.</t>
  </si>
  <si>
    <t>№68/09</t>
  </si>
  <si>
    <t>Восстановл.эл.сабжения после пожара - кв.68</t>
  </si>
  <si>
    <t>№69/09</t>
  </si>
  <si>
    <t>Установка выключателей нагрузки</t>
  </si>
  <si>
    <t>№70/09</t>
  </si>
  <si>
    <t>Установка выключателей нагрузки - кв.56</t>
  </si>
  <si>
    <t>№71/09</t>
  </si>
  <si>
    <t>Установка выключателей нагрузки - кв.13</t>
  </si>
  <si>
    <t>№72/09</t>
  </si>
  <si>
    <t>Установка выключателей нагрузки - кв.64,30,22</t>
  </si>
  <si>
    <t>Оплачено:текущий ремонт и обслуживание</t>
  </si>
  <si>
    <t>Оплачено: кап.ремонт (в т.ч. за найм)</t>
  </si>
  <si>
    <t>Задолженность перед УК</t>
  </si>
  <si>
    <t>пр.Комсомольский 18,  2011год</t>
  </si>
  <si>
    <t>№08/34</t>
  </si>
  <si>
    <t>Ревизия элеваторного узла</t>
  </si>
  <si>
    <t>№08/30</t>
  </si>
  <si>
    <t>№08/26</t>
  </si>
  <si>
    <t>Замена вентилей , задвижек,кв.43,65</t>
  </si>
  <si>
    <t>№08/101</t>
  </si>
  <si>
    <t>Ремонт элеваторного узла,блок №1,2,3</t>
  </si>
  <si>
    <t>№08/96</t>
  </si>
  <si>
    <t>Остекление п-зд№ 6</t>
  </si>
  <si>
    <t>№08/1-3</t>
  </si>
  <si>
    <t>Опрессовка элеваторного узла. Элеватор-3</t>
  </si>
  <si>
    <t>Опрессовка элеваторного узла. Элеватор-1</t>
  </si>
  <si>
    <t>№08/2-5</t>
  </si>
  <si>
    <t>Вывоз мусора+стоимость талонов</t>
  </si>
  <si>
    <t>№07/134</t>
  </si>
  <si>
    <t>Задолженность перед  УК по выполненным работам по содержанию и ремонту (по факту оплаты) по состоянию на 31.12.2011г.</t>
  </si>
  <si>
    <t>Отчет ООО УК "Наш дом" по выполненным работам за 2011г. по адресу пр. Комсомольский,12</t>
  </si>
  <si>
    <t>ремонт металлических лестничных ограждений 4 под.</t>
  </si>
  <si>
    <t>слив и наполнение водой стояков хв,гв.кв.30</t>
  </si>
  <si>
    <t>№21/05</t>
  </si>
  <si>
    <t>погрузка мусора</t>
  </si>
  <si>
    <t>№18/05</t>
  </si>
  <si>
    <t>изготовление,установка штакетника 1-2</t>
  </si>
  <si>
    <t>слив и наполнение стояков гв,хв. 4 п.</t>
  </si>
  <si>
    <t>№78/06</t>
  </si>
  <si>
    <t>замена стояка канализ. Кв.30-27</t>
  </si>
  <si>
    <t>№45/06</t>
  </si>
  <si>
    <t>изготовление,установка штакетника 3 п.</t>
  </si>
  <si>
    <t>№39/06</t>
  </si>
  <si>
    <t>уборка,вывоз мусора</t>
  </si>
  <si>
    <t>№25/06</t>
  </si>
  <si>
    <t>ревизия задвижек в 1 эл.</t>
  </si>
  <si>
    <t>№19/06</t>
  </si>
  <si>
    <t>переподключение до ОДПУ</t>
  </si>
  <si>
    <t>№13/06</t>
  </si>
  <si>
    <t>Устройство заборов</t>
  </si>
  <si>
    <t>№70/07</t>
  </si>
  <si>
    <t>установка вентилей кв.55</t>
  </si>
  <si>
    <t>№51/07</t>
  </si>
  <si>
    <t>ремонт отопления 4 п.</t>
  </si>
  <si>
    <t>смена задвижек 4 подвал</t>
  </si>
  <si>
    <t>обшивка каркасных стен</t>
  </si>
  <si>
    <t>№64/04</t>
  </si>
  <si>
    <t>№62/04</t>
  </si>
  <si>
    <t>№56/05</t>
  </si>
  <si>
    <t>№63/05</t>
  </si>
  <si>
    <t>№53/05</t>
  </si>
  <si>
    <t>Замеры</t>
  </si>
  <si>
    <t>№52/05</t>
  </si>
  <si>
    <t>№46/05</t>
  </si>
  <si>
    <t>Замена почтовых ящиков - 3 п.</t>
  </si>
  <si>
    <t>Обшивка окон ДСП - 3 п.</t>
  </si>
  <si>
    <t>Забивка дверей - кв. 11</t>
  </si>
  <si>
    <t>Содержание лифтов</t>
  </si>
  <si>
    <t>Обеспечение санит.состояния жилых зданий и придомовой территории</t>
  </si>
  <si>
    <t>Аварийно-диспетчерская служба</t>
  </si>
  <si>
    <t>Санитарное обслуживание домов</t>
  </si>
  <si>
    <t>Уборка чердаков, уборка подвалов</t>
  </si>
  <si>
    <t>Очистка козырьков</t>
  </si>
  <si>
    <t>Прочие</t>
  </si>
  <si>
    <t>Работы в счет квартплаты</t>
  </si>
  <si>
    <t>св. акт №2/1</t>
  </si>
  <si>
    <t>св.акт№2/1</t>
  </si>
  <si>
    <t>Замеры температурного режима в элев. узле</t>
  </si>
  <si>
    <t>Мелкие плотницкие работы</t>
  </si>
  <si>
    <t>Открытие, закрытие задвижек при ликвидации аварии т/сетям</t>
  </si>
  <si>
    <t>Прокладка трубопроводов отопления, установка вентилей-2п.</t>
  </si>
  <si>
    <t>сантехнические работы</t>
  </si>
  <si>
    <t>Замена сборок - 1блок,  замена канализационного стояка - кв.122</t>
  </si>
  <si>
    <t xml:space="preserve">спрака </t>
  </si>
  <si>
    <t>Врезка ввода х/в - 2подвал,   перепускание стояка п/сушителя через подвал - кв.12</t>
  </si>
  <si>
    <t>Электромонтажные работы</t>
  </si>
  <si>
    <t>Смена стояка отопл.,очистка канализ-ции кв.25,29,31,35,48,52,56</t>
  </si>
  <si>
    <t>Пробивка перекрытия , замена стояка х/в - кв.80,84.153,33.4 , 2 элев.</t>
  </si>
  <si>
    <t>Обеспечение сан.состояния жилых зданий и придомовой территории</t>
  </si>
  <si>
    <t>Забивка слух. окон-2,3 блок; валка деревьев-1блок; чистка вент. каналов-кв.23,31,112,153; .-кв.48, 52</t>
  </si>
  <si>
    <t xml:space="preserve">Перечень работ по пр. Мира 22 с 01.01.2011г. по 31.12.2011г. </t>
  </si>
  <si>
    <t>№47/07</t>
  </si>
  <si>
    <t xml:space="preserve">ремонт канализации под-д 1 </t>
  </si>
  <si>
    <t>ремонт мягкой кровли</t>
  </si>
  <si>
    <t>№139/10</t>
  </si>
  <si>
    <t>Ремонт мягкой кровли - кв. 41, 42, 62, 63</t>
  </si>
  <si>
    <t>№54/04</t>
  </si>
  <si>
    <t>Изготовление , установка рам - 4 п.</t>
  </si>
  <si>
    <t xml:space="preserve">ремонт подъезда № 2 собственными силами </t>
  </si>
  <si>
    <t>№208/10</t>
  </si>
  <si>
    <t>Ремонт подъезда № 4</t>
  </si>
  <si>
    <t>Ремонт почтовых ящиков</t>
  </si>
  <si>
    <t>установка п/ящиков под-д 3</t>
  </si>
  <si>
    <t>установка п/ящиков под-д 4</t>
  </si>
  <si>
    <t>№34/01</t>
  </si>
  <si>
    <t>№247/10</t>
  </si>
  <si>
    <t xml:space="preserve">ремонт подвального освещения </t>
  </si>
  <si>
    <t>Замена подводки к радиатору с г/св; пробка, смена сгонов - кв. 72</t>
  </si>
  <si>
    <t>Замена стояка горячей воды, кв.80</t>
  </si>
  <si>
    <t>Открытие, закрытие задвижки</t>
  </si>
  <si>
    <t>пл. пор. № 172 от 16.06.11</t>
  </si>
  <si>
    <t xml:space="preserve">Оплата за промывку согласно расчета расхода ГВС </t>
  </si>
  <si>
    <t>с/ф № 3/4/1/02 6863 от 30.06.11 с/ф № 3/4/1/02 8447 от 31.07.11</t>
  </si>
  <si>
    <t>Временная заделка свищей и трещин на внутренних трубопроводах и стояках - кв. 7, 11</t>
  </si>
  <si>
    <t>Сброс и наполнение стояков ХВС, ГВС, смена сгонов, установка радиаторных пробок - кв. 16</t>
  </si>
  <si>
    <t>Смена санитарных приборов, регулировка смывного бачка, кв.3</t>
  </si>
  <si>
    <t>Пробивка перекрытия,замена стояков х/в,г/в.кв.67</t>
  </si>
  <si>
    <t>Смена стояка кв. 7</t>
  </si>
  <si>
    <t>Смена сборок в подвале</t>
  </si>
  <si>
    <t>№177/09</t>
  </si>
  <si>
    <t>Срезка старой подводки к см.бачку, замена тройника к унитазу - кв.32. Замена части стояка х/в - кв.37. Замена сборки на стояке х/в в подвале - 1под. Замена подводки к радиатору - кв.3. Врезка отсечных вентилей на г/в и х/в - кв.40. Замена канализ.стояка с</t>
  </si>
  <si>
    <t>справка № 3</t>
  </si>
  <si>
    <t xml:space="preserve">Замер температурного режима </t>
  </si>
  <si>
    <t>№ 37/01</t>
  </si>
  <si>
    <t>Замеры температурного режима в элеваторном узле</t>
  </si>
  <si>
    <t>кв.18 , 48 - Замена подводок к радиатору</t>
  </si>
  <si>
    <t>Ремонт Элеватора</t>
  </si>
  <si>
    <t>Ликвидация воздушных пробок в стояках, кв.73</t>
  </si>
  <si>
    <t xml:space="preserve">Замеры  </t>
  </si>
  <si>
    <t>Открытие, закрытие задвижки отопления</t>
  </si>
  <si>
    <t>ремонт элеватора</t>
  </si>
  <si>
    <t xml:space="preserve">Разборка и сборка элеваторного узла </t>
  </si>
  <si>
    <t>пл. пор. № 245 от 18.08.11</t>
  </si>
  <si>
    <t>Смена радиаторных пробок -72</t>
  </si>
  <si>
    <t>справка - расчет</t>
  </si>
  <si>
    <t>Запуск отопления, опресовка элеватора</t>
  </si>
  <si>
    <t xml:space="preserve">справка  № 6 </t>
  </si>
  <si>
    <t>№21/12</t>
  </si>
  <si>
    <t>Подмотка сборки - 3п., смена сгонов, смена радиаторных пробок кв.3 , очистка канализационной сети: внутренней</t>
  </si>
  <si>
    <t>Замена части  канализ.стояка с электросваркой, кв.11</t>
  </si>
  <si>
    <t>Замена канализационного стояка через перекрытие, кв.56,60</t>
  </si>
  <si>
    <t>Очистка канализационной сети, переборка труб.</t>
  </si>
  <si>
    <t>№65/05</t>
  </si>
  <si>
    <t>Замена канализации</t>
  </si>
  <si>
    <t>Прочистка двух канализ.выпусков с подвала до колодцев</t>
  </si>
  <si>
    <t xml:space="preserve">Очистка канализационной сети </t>
  </si>
  <si>
    <t>очистка канализационной сети - подвал</t>
  </si>
  <si>
    <t>Замена канализац. стояка кв. 7</t>
  </si>
  <si>
    <t>Замена канал-го стояка - кв. 22</t>
  </si>
  <si>
    <t>Смена ламп накаливания, кв.4</t>
  </si>
  <si>
    <t>Смена ламп накаливания, кв.66</t>
  </si>
  <si>
    <t>Ремонт силового предохранительного шкафа</t>
  </si>
  <si>
    <t>Ремонт освещения</t>
  </si>
  <si>
    <t>Установка выключателя нагрузки - кв. 50, 61, 67</t>
  </si>
  <si>
    <t>Установка выключателя нагрузки - кв. 37</t>
  </si>
  <si>
    <t>№78/09</t>
  </si>
  <si>
    <t>№183/10</t>
  </si>
  <si>
    <t>Смена выключателей - кв. 64, 66</t>
  </si>
  <si>
    <t>Погрузка, пескопосыпка территории</t>
  </si>
  <si>
    <t>357/02</t>
  </si>
  <si>
    <t>Пескопосыпка</t>
  </si>
  <si>
    <t>Уборка территории от мусора, габарит.(к/площадка).</t>
  </si>
  <si>
    <t>с/ф № 1743 от 29.06.11</t>
  </si>
  <si>
    <t>Талон на захоронения ТБО</t>
  </si>
  <si>
    <t xml:space="preserve">Уборка и вывоз мусора </t>
  </si>
  <si>
    <t>Завоз песка в песочницу</t>
  </si>
  <si>
    <t>с/ф № 1182 от 16,05,11, с/ф № 2048,от 25.07.11</t>
  </si>
  <si>
    <t>№29/09</t>
  </si>
  <si>
    <t>Уборка вывоз мусора</t>
  </si>
  <si>
    <t>Покраска дверного блока, труб, побелка стен, потолков, штукатурка потолочных швов</t>
  </si>
  <si>
    <t>Обшивка окон ДСП - 2 п.</t>
  </si>
  <si>
    <t>Забивка дверей, кв.33</t>
  </si>
  <si>
    <t>Остекление стекол в подъезде № 3</t>
  </si>
  <si>
    <t>Прибивка петель на чердак, навеска замка под-д 1</t>
  </si>
  <si>
    <t xml:space="preserve">Смена стекол - 3 п. </t>
  </si>
  <si>
    <t>№37/09</t>
  </si>
  <si>
    <t>Изготовление , установка поручней - 2п.</t>
  </si>
  <si>
    <t>№81/10</t>
  </si>
  <si>
    <t>Ремонт лестничных ограждений, установка поручней</t>
  </si>
  <si>
    <t>№215/10</t>
  </si>
  <si>
    <t>Изготовление метал-их дверей</t>
  </si>
  <si>
    <t>№101/11</t>
  </si>
  <si>
    <t>Изготовление и установка поручней 4 п.</t>
  </si>
  <si>
    <t>№116/12</t>
  </si>
  <si>
    <t>забивка подвальных окон 4 под-д; заделка подвалнй стены кирпичной кладкой; остекление оконных рам под-д 3; заделка перекрытия кв. 23; навестка замков; прочиска вентиляционных каналов кв.19, 62, 45, 60.</t>
  </si>
  <si>
    <t xml:space="preserve">справка - расчет </t>
  </si>
  <si>
    <t xml:space="preserve">Замертемрературного режима в элеваторном узле </t>
  </si>
  <si>
    <t>Прочистка вентялиционных каналов, кв.24,36</t>
  </si>
  <si>
    <t>Прочистка вентиляционных каналов, кв.45,61,59</t>
  </si>
  <si>
    <t>Проверка вент. Каналов</t>
  </si>
  <si>
    <t>Закрытие задвиж.</t>
  </si>
  <si>
    <t>ИТОГО:</t>
  </si>
  <si>
    <t>Ремонт помещения элеваторного узла - 2 п.</t>
  </si>
  <si>
    <t>Очистка канализационной сети: внутренней; замена канализационного розлива - 4 п.</t>
  </si>
  <si>
    <t>Очистка канализационной сети: внутренней - 2 п.</t>
  </si>
  <si>
    <t>Заваривание свища п/суш. - кв. 57</t>
  </si>
  <si>
    <t>Замена части стояка отопления - кв. 15, ревизия вентилей - кв. 14</t>
  </si>
  <si>
    <t>Ревизия вентиля - кв. 26</t>
  </si>
  <si>
    <t>Задолженность  перед УК по выполненным работам по содержанию и ремонту (по факту оплаты) по состоянию на 31.12.2011г.</t>
  </si>
  <si>
    <t>Задолженность  УК: капитальный ремонт (по начислению) по состоянию на 31.12.2011г.</t>
  </si>
  <si>
    <t>Отчет ООО УК "Наш дом" по выполненным работам за 2011г. по адресу пр. Комсомольский,18</t>
  </si>
  <si>
    <t>№214/10</t>
  </si>
  <si>
    <t>Изготовление и установка мет-их дверей</t>
  </si>
  <si>
    <t>186/10</t>
  </si>
  <si>
    <t>Замена стояка холодной воды - кв. 91, 93</t>
  </si>
  <si>
    <t>Смена вентилей - кв. 57</t>
  </si>
  <si>
    <t>Смена стояка п/сушит. - кв. 24</t>
  </si>
  <si>
    <t>Ревизия задвижек, смена вентилей - элеватор</t>
  </si>
  <si>
    <t>Замена кран-буксы - кв. 51</t>
  </si>
  <si>
    <t>№71/03, №53/03</t>
  </si>
  <si>
    <t>Ревизия задвижек - элеватор</t>
  </si>
  <si>
    <t>Замена стояка горячей воды - кв. 82</t>
  </si>
  <si>
    <t>Разборка, сборка элеваторного узла - 4 п.</t>
  </si>
  <si>
    <t>Замена стояка горячей воды - кв. 42, 46</t>
  </si>
  <si>
    <t>Замена стояка канализации - кв. 32</t>
  </si>
  <si>
    <t>5 под-д прочистка канализации - кв. 89</t>
  </si>
  <si>
    <t>№252/10</t>
  </si>
  <si>
    <t>Очистка канал-ой сети - 2 п.; перепущен стояк отопления - кв. 8</t>
  </si>
  <si>
    <t>№245/10</t>
  </si>
  <si>
    <t>Замена дверного блока - 5 п.</t>
  </si>
  <si>
    <t>Отчет ООО УК "Наш дом" по выполненным работам за 2011г. по адресу пр. Комсомольский,20</t>
  </si>
  <si>
    <t>Отчет ООО УК "Наш дом" по выполненным работам за 2011г. по адресу пр. Комсомольский,22</t>
  </si>
  <si>
    <t>Дезинсекция и Дератизация</t>
  </si>
  <si>
    <t>Отчет ООО УК "Наш дом" по выполненным работам за 2011г. по адресу пр. Комсомольский,24</t>
  </si>
  <si>
    <t>Отчет ООО УК "Наш дом" по выполненным работам за 2011г. по адресу пр. Комсомольский,26</t>
  </si>
  <si>
    <t>Отчет ООО УК "Наш дом" по выполненным работам за 2011г. по адресу пр. Комсомольский,28</t>
  </si>
  <si>
    <t>Очистка канализационной сети внутр.</t>
  </si>
  <si>
    <t>Замена трубы канализ. - кв. 61</t>
  </si>
  <si>
    <t>Отчет ООО УК "Наш дом" по выполненным работам за 2011г. по адресу пр. Комсомольский,34</t>
  </si>
  <si>
    <t>Денисекция  и дератизация</t>
  </si>
  <si>
    <t>Отчет ООО УК "Наш дом" по выполненным работам за 2011г. адресу пр. Амурская,12</t>
  </si>
  <si>
    <t>Перепустили стояк отопления через подвал - кв. 3, 49, 65; ревизия вентилей - 2 блок, кв. 26</t>
  </si>
  <si>
    <t>Замена стояков отопления, смена сгонов, отводов - 1 блок</t>
  </si>
  <si>
    <t>Замена задвижек - 2 блок</t>
  </si>
  <si>
    <t>Ремонт кирпичной кладки стен - 6 п.</t>
  </si>
  <si>
    <t>Установка дверных приборов - 1 п.; обшивка каркас. стен - 5 п.</t>
  </si>
  <si>
    <t>Промазка примыканий мастикой - кв. 20</t>
  </si>
  <si>
    <t>Обшивка каркасных стен, дверей - 4 п.</t>
  </si>
  <si>
    <t>№134/10</t>
  </si>
  <si>
    <t>№213/10</t>
  </si>
  <si>
    <t>Ремонт крыльца - 5 п.</t>
  </si>
  <si>
    <t>№209/10</t>
  </si>
  <si>
    <t>Ремонт подъезда (побелка, покраска) - 1 п.</t>
  </si>
  <si>
    <t>№251/10</t>
  </si>
  <si>
    <t>Монтаж стояковой разводки</t>
  </si>
  <si>
    <t>№261/10</t>
  </si>
  <si>
    <t>Замена сборки -1блок; перепустили стояк отопления - кв.20,8,12</t>
  </si>
  <si>
    <t>№212/10</t>
  </si>
  <si>
    <t>Замена розлива отопления - 1 п.</t>
  </si>
  <si>
    <t>№257/10</t>
  </si>
  <si>
    <t>Проверка оголовков и вентиляционных колодцев</t>
  </si>
  <si>
    <t>Проверка оголовков и вентил.колодцев</t>
  </si>
  <si>
    <t>проверка оголовков и вентил.колодцев</t>
  </si>
  <si>
    <t>проверка оголовков и вентиляционных колодцев</t>
  </si>
  <si>
    <t>№01/12</t>
  </si>
  <si>
    <t>Пеепустили стояк отопления - кв. 68; очистка кан-ой сети - подвал; смена отдельных участков трубопроводов - кв. 21</t>
  </si>
  <si>
    <t>№155/10</t>
  </si>
  <si>
    <t>Подмотка сборки - кв. 43,45; смена участков труб-ов - кв. 57,43</t>
  </si>
  <si>
    <t>№154/10</t>
  </si>
  <si>
    <t>Установка балкона кв.130</t>
  </si>
  <si>
    <t>Устройство контейнерной площадки</t>
  </si>
  <si>
    <t>Демонтаж балкона кв.111</t>
  </si>
  <si>
    <t>ООО Спектр</t>
  </si>
  <si>
    <t>Ремонт кровли 2 блок</t>
  </si>
  <si>
    <t>Ремонт мягкой кровли</t>
  </si>
  <si>
    <t>Ремонт кровли 8 подъезд</t>
  </si>
  <si>
    <t>Ремонт водостоков</t>
  </si>
  <si>
    <t>ООО Ремстройсервис</t>
  </si>
  <si>
    <t>Замена кирпичной кладки</t>
  </si>
  <si>
    <t>ИП Янкова</t>
  </si>
  <si>
    <t>Ремонт межпанельных швов кв.59</t>
  </si>
  <si>
    <t>Прочистка вентиляционых каналов - кв. 63</t>
  </si>
  <si>
    <t>Прочистка вентиляционых каналов - кв. 95</t>
  </si>
  <si>
    <t>Прочистка вентиляционых каналов - кв. 52, 53</t>
  </si>
  <si>
    <t>Прочистка вентиляционых каналов - кв. 6</t>
  </si>
  <si>
    <t>Прочистка вентиляционых каналов - кв. 124, 78</t>
  </si>
  <si>
    <t>№ 40/01</t>
  </si>
  <si>
    <t>Прочистка вентиляционных каналов - кв. 22</t>
  </si>
  <si>
    <t>Прочиска вент. каналов - кв. 4,12; перепустили стояк отопл. - кв.54; очистка канал-ой сети - 2 п.</t>
  </si>
  <si>
    <t>№258/10</t>
  </si>
  <si>
    <t>Заделка отверстий - 5 п.</t>
  </si>
  <si>
    <t>Смена стекол</t>
  </si>
  <si>
    <t>Очистка канал-ой сети - кв. 1</t>
  </si>
  <si>
    <t>№151/10</t>
  </si>
  <si>
    <t xml:space="preserve">Замена стояка по хол. воде - кв. 33, 36 </t>
  </si>
  <si>
    <t>Замена стояка гор. воды - кв. 18</t>
  </si>
  <si>
    <t>№150/10</t>
  </si>
  <si>
    <t>Замена сброса по отопл-ию-3 п.;замена стояков г/в,х/в -кв.12,15</t>
  </si>
  <si>
    <t>36/12</t>
  </si>
  <si>
    <t>Ликвидация воздушных пробок в стояках</t>
  </si>
  <si>
    <t>№35/12</t>
  </si>
  <si>
    <t>Подмотка сборки кв.15</t>
  </si>
  <si>
    <t>№34/12</t>
  </si>
  <si>
    <t>Подмотка радиаторных пробок кв. 29</t>
  </si>
  <si>
    <t>№33/12</t>
  </si>
  <si>
    <t>Подмотка радиаторных пробок - кв. 71</t>
  </si>
  <si>
    <t>№32/12</t>
  </si>
  <si>
    <t>Замена сборки по стояку отопления - 2 подвал</t>
  </si>
  <si>
    <t>№31/12</t>
  </si>
  <si>
    <t>Прочистка вентиляционных каналов - кв.49</t>
  </si>
  <si>
    <t>№30/12</t>
  </si>
  <si>
    <t>Разборка и сборка элеваторного узла со снятием тройника и сопла</t>
  </si>
  <si>
    <t>№29/12</t>
  </si>
  <si>
    <t>Замена трех сборок по отоплению в подвале - кв.17, перепускание трех стояков отопления через подвал - кв.12</t>
  </si>
  <si>
    <t>№28/12</t>
  </si>
  <si>
    <t>Демонтаж вентилей - кв.48, пробивка в бетонных стенах и полах отверстий - кв.101</t>
  </si>
  <si>
    <t>№27/12</t>
  </si>
  <si>
    <t>Замена части канализ.стояка - кв.68, замена канализац.стояка - кв.59</t>
  </si>
  <si>
    <t>№26/12</t>
  </si>
  <si>
    <t>Перепускание стояков отопления через подвал - кв.15</t>
  </si>
  <si>
    <t>№25/12</t>
  </si>
  <si>
    <t>№24/12</t>
  </si>
  <si>
    <t>Замена подводки к радиатору - кв.18, подтянули гайку на обвязке под ванной - кв.24</t>
  </si>
  <si>
    <t>№61/12</t>
  </si>
  <si>
    <t>Завоз песка , посыпка</t>
  </si>
  <si>
    <t>Завоз песка, посыпка</t>
  </si>
  <si>
    <t xml:space="preserve">Завоз песка, посыпка </t>
  </si>
  <si>
    <t>Завоз песка,посыпка</t>
  </si>
  <si>
    <t>завоз песка, посыпка</t>
  </si>
  <si>
    <t>Звоз песка, посыпка</t>
  </si>
  <si>
    <t>№23/12</t>
  </si>
  <si>
    <t>№22/12</t>
  </si>
  <si>
    <t>№20/12</t>
  </si>
  <si>
    <t>очистка дворовых территорий от снега</t>
  </si>
  <si>
    <t>№78/03</t>
  </si>
  <si>
    <t>замеры</t>
  </si>
  <si>
    <t>переборка п/эт. Канализац. Труб кв.25</t>
  </si>
  <si>
    <t>Набивка сальников на задвижках кв.5 - элеватор</t>
  </si>
  <si>
    <t>покос травы</t>
  </si>
  <si>
    <t>№193/09</t>
  </si>
  <si>
    <t>замена водовода ГВС в подвале</t>
  </si>
  <si>
    <t>№180/09</t>
  </si>
  <si>
    <t>сантехнические работы кв.19</t>
  </si>
  <si>
    <t>№104/09</t>
  </si>
  <si>
    <t>ремонт под-да 2</t>
  </si>
  <si>
    <t>№36/09</t>
  </si>
  <si>
    <t>изготовление, монтаж ограждений контейнерной площадки</t>
  </si>
  <si>
    <t>№78/10</t>
  </si>
  <si>
    <t>№149/10</t>
  </si>
  <si>
    <t>замена стояка г/в через перекрытие в подвал кв,18</t>
  </si>
  <si>
    <t>сброс и наполнение стояков хвс,гвс кв.64</t>
  </si>
  <si>
    <t>№ 46/01</t>
  </si>
  <si>
    <t>Заделка подвальных окон, ремонт дверных полотен - 1 блок, подвал</t>
  </si>
  <si>
    <t>Забивка штрабы - 1 п.</t>
  </si>
  <si>
    <t>Забивка окна оргалитом</t>
  </si>
  <si>
    <t>Заваривание входа в подвале - 1 п.</t>
  </si>
  <si>
    <t>Прочистка вентиляционных каналов - кв. 3</t>
  </si>
  <si>
    <t>№58/02</t>
  </si>
  <si>
    <t>Заделка штрабы кирпичом - кв. 8</t>
  </si>
  <si>
    <t>План работ по текущему ремонту и техническому содержанию на 2011г.</t>
  </si>
  <si>
    <t>ВСЕГО работ по содержанию и ремонту на 2011г.</t>
  </si>
  <si>
    <t>в т.ч. текущий ремонт</t>
  </si>
  <si>
    <t>Ремонт канализации по подвалу</t>
  </si>
  <si>
    <t>Ремонт подъездов № 2,4</t>
  </si>
  <si>
    <t>Установка почтовых ящиков</t>
  </si>
  <si>
    <t>№11/23</t>
  </si>
  <si>
    <t>Ремонт сгона,кв.72</t>
  </si>
  <si>
    <t>№11/38</t>
  </si>
  <si>
    <t>№138/12</t>
  </si>
  <si>
    <t>№136/12</t>
  </si>
  <si>
    <t>№10/2-2</t>
  </si>
  <si>
    <t>Проверка давления и темп-ного режима.Эл.-3</t>
  </si>
  <si>
    <t>Сброс и наполнение стояков ХВС, ГВС, смена сгонов, установка вентилей, заглушек, вваривание резьбы - 1, 2, 3 п.</t>
  </si>
  <si>
    <t>№ 47/01</t>
  </si>
  <si>
    <t>Демонтаж решеток, монтаж решеток кв. 20</t>
  </si>
  <si>
    <t>Установка дверных приборов, навеска замка 4 п,</t>
  </si>
  <si>
    <t>Перепустили стояк отопления через подвал - кв.87</t>
  </si>
  <si>
    <t>Откачка воды из подвала эл.насосом</t>
  </si>
  <si>
    <t>Перепустили стояк п/сушит. - кв. 56; установка вентилей - 4 п.</t>
  </si>
  <si>
    <t>№270/10</t>
  </si>
  <si>
    <t>Перепущен стояк отопления- кв. 100, 38; смена сгонов - кв. 61</t>
  </si>
  <si>
    <t>№264/10</t>
  </si>
  <si>
    <t>Смена сгонов, установка вентилей - кв. 3, подвал</t>
  </si>
  <si>
    <t>№263/10</t>
  </si>
  <si>
    <t>Перепущен стояк п/сушит. - кв. 67,73; прочистка канал-и - 5 п.</t>
  </si>
  <si>
    <t>№260/10</t>
  </si>
  <si>
    <t>Очистка канал-ой сети - кв.3,1;сброс системы отопл-я- кв.38</t>
  </si>
  <si>
    <t>№20/02</t>
  </si>
  <si>
    <t>№13/02</t>
  </si>
  <si>
    <t>Установка дверных блоков - 1 п.</t>
  </si>
  <si>
    <t>Ремонт двери - 5 п.</t>
  </si>
  <si>
    <t>Забивка окна оргалитом - 5 эт.</t>
  </si>
  <si>
    <t>Утепление окна - 1 п.</t>
  </si>
  <si>
    <t>Забивка окна оргалитом - 2 п.</t>
  </si>
  <si>
    <t>Заделка отверстий, гнезд, борозд в ж/б перекрытиях - кв. 74, 70</t>
  </si>
  <si>
    <t>Установка дверных приборов, ремонт, двери - 3 п.</t>
  </si>
  <si>
    <t>Перепустили стояк отопления через подвал - кв.43</t>
  </si>
  <si>
    <t>Временная заделка свищей и трещин на внутр.труб.и стояках</t>
  </si>
  <si>
    <t>смена внутренних трубопроводов из стальных труб Д-76мм 2под-д</t>
  </si>
  <si>
    <t>№09/155</t>
  </si>
  <si>
    <t xml:space="preserve">Замена стояка </t>
  </si>
  <si>
    <t>№09/149</t>
  </si>
  <si>
    <t>№09/147</t>
  </si>
  <si>
    <t>Замена трубы, розлив</t>
  </si>
  <si>
    <t>№09/131</t>
  </si>
  <si>
    <t>Замена сборок,п-зд №2</t>
  </si>
  <si>
    <t>№09/127</t>
  </si>
  <si>
    <t>Замена стояка х/в кв.77,73</t>
  </si>
  <si>
    <t>№09/119</t>
  </si>
  <si>
    <t>Установка сопла</t>
  </si>
  <si>
    <t>Замена задвижек</t>
  </si>
  <si>
    <t>Ремонт стояка</t>
  </si>
  <si>
    <t>Ремонт кровли кв.35,73</t>
  </si>
  <si>
    <t>Ремонт кровли кв.12</t>
  </si>
  <si>
    <t>№09/2-7</t>
  </si>
  <si>
    <t>Замена подводки до отсечного кв.23,49</t>
  </si>
  <si>
    <t>Смена дверных приборов: пружины</t>
  </si>
  <si>
    <t>№60/01</t>
  </si>
  <si>
    <t>№80/10</t>
  </si>
  <si>
    <t>Демонтаж, монтаж почтовых ящиков - 2 п.</t>
  </si>
  <si>
    <t>Окраска стальных труб - элеватор; ремонт метал-их лестничных решеток - 1,2 п.</t>
  </si>
  <si>
    <t>Обшивка дверей оргалитом - 1 п, смана стекол - 1, 2 п.</t>
  </si>
  <si>
    <t>№64/10</t>
  </si>
  <si>
    <t>Ремонт дверей; укрепление деревянных стен - 2 п.</t>
  </si>
  <si>
    <t>Изготовление,монтаж металл. Решеток</t>
  </si>
  <si>
    <t>№25/05</t>
  </si>
  <si>
    <t xml:space="preserve">Ремонт освещения </t>
  </si>
  <si>
    <t>Ремонт стоячной разводки -1 под.</t>
  </si>
  <si>
    <t>Обшивка двери оргалитом б/у 1 п.</t>
  </si>
  <si>
    <t>Обшивка окна ДСП б/у 2 п.</t>
  </si>
  <si>
    <t>Изоляция подвального окна стекловатой 4 п.</t>
  </si>
  <si>
    <t>№ 48/01</t>
  </si>
  <si>
    <t>Установка оконного блока, остекление в 2 стекла, покраска, проолифка</t>
  </si>
  <si>
    <t>№ 49/01</t>
  </si>
  <si>
    <t>Замена дверного блока 4 п.</t>
  </si>
  <si>
    <t>№ 51/01</t>
  </si>
  <si>
    <t>Замена водовода ХВС</t>
  </si>
  <si>
    <t>№ 53/01</t>
  </si>
  <si>
    <t>Пескопосыпка территории 2 класса</t>
  </si>
  <si>
    <t>№ 54/01</t>
  </si>
  <si>
    <t>№ 55/01</t>
  </si>
  <si>
    <t>Изготовление и установка рам</t>
  </si>
  <si>
    <t>№ 58/01</t>
  </si>
  <si>
    <t>№12/06</t>
  </si>
  <si>
    <t>Заделка отверстий, гнезд, борозд в ж/б перекрытиях - кв. 65, 69</t>
  </si>
  <si>
    <t>№11/02</t>
  </si>
  <si>
    <t>Ремонт помещения эл. узла ( установка блоков в дверных проемах, окраска по бетону, по дереву, труб, обивка дверей сталью) - 1, 2 п.</t>
  </si>
  <si>
    <t>Сброс и наполнение стояков ХВС, ГВС кв. 82</t>
  </si>
  <si>
    <t>Сброс и наполнение стояков</t>
  </si>
  <si>
    <t>№10/33</t>
  </si>
  <si>
    <t>Замена отсекающего вентиля кв.53</t>
  </si>
  <si>
    <t>№10/30</t>
  </si>
  <si>
    <t>Замена розлива</t>
  </si>
  <si>
    <t>№10/110</t>
  </si>
  <si>
    <t>Замена сборки на п/сушителе кв.1, блок 1</t>
  </si>
  <si>
    <t>№10/1-2</t>
  </si>
  <si>
    <t>Подмотка радиаторн.пробок,ликвид.возд.пробок -кв.83,71</t>
  </si>
  <si>
    <t>Отключение стояков отопл.,сброс, запуск  -кв.30</t>
  </si>
  <si>
    <t>Замена стояков ХВС,ГВС -кв.9</t>
  </si>
  <si>
    <t>Установка заглушек ГВС,ХВС кв.35</t>
  </si>
  <si>
    <t>Подмотка радиаторных пробок -кв.82</t>
  </si>
  <si>
    <t>Ликвидация воздушн.пробок в стояках</t>
  </si>
  <si>
    <t>Перепустили стояк отопления через подвал - кв. 87.</t>
  </si>
  <si>
    <t>Замена сборок по г/в в подвале</t>
  </si>
  <si>
    <t>Перезапуск стояков отопления через подвал - кв.42,54</t>
  </si>
  <si>
    <t>очистка канализации - кв. 51</t>
  </si>
  <si>
    <t>Замена канализ-го стояка - кв. 70, 74</t>
  </si>
  <si>
    <t>Очистка канализации - 2 блок</t>
  </si>
  <si>
    <t>Очистка канализац. сети: внутренней 3п.</t>
  </si>
  <si>
    <t>Очистка канализац. сети: внутренней</t>
  </si>
  <si>
    <t>Слив и наполнение водой стояков ХВС,ГВС,отопл. Кв.51</t>
  </si>
  <si>
    <t>Прочистка засоров ХВС, ГВС кв.36</t>
  </si>
  <si>
    <t>Замена стояка ГВС</t>
  </si>
  <si>
    <t>№67/05</t>
  </si>
  <si>
    <t>Смена  выключателей-подвал</t>
  </si>
  <si>
    <t>Смена ламп накаливания  кв.23, 28</t>
  </si>
  <si>
    <t>Смена ламп накаливания кв.70</t>
  </si>
  <si>
    <t>№64/05</t>
  </si>
  <si>
    <t>Уборка мусора из подвала</t>
  </si>
  <si>
    <t>Монтаж отключающих устройств кв.49,55,61,79</t>
  </si>
  <si>
    <t>Монтаж отключающих устройств кв.14,46,8,9</t>
  </si>
  <si>
    <t>Монтаж отключающих устройств кв.14,17,22,26,43,44</t>
  </si>
  <si>
    <t>Монтаж отключающих устройств кв.10,118,14,20,26,31,50</t>
  </si>
  <si>
    <t>Сброс и наполнение стояков ХВС, ГВС, пробивка в стенах и полах отверстий, смена внутр. Трубопроводов - кв. 109</t>
  </si>
  <si>
    <t>Смена внутренних трубопроводов из стальных труб -  2 п.</t>
  </si>
  <si>
    <t xml:space="preserve"> Очистка канализационной сети - 4 блок</t>
  </si>
  <si>
    <t>Сброс и наполнение стояков ХВС, ГВС, временная заделка свищей и трещин на внутренних трбопроводах и стояках - кв.96</t>
  </si>
  <si>
    <t>Установка вентилей, вваривание резьбы, смена сгонов - кв. 75; ревизия вентилей - подвал</t>
  </si>
  <si>
    <t>Обшивка проема досками б/у</t>
  </si>
  <si>
    <t>Установка полотен: наружных кроме балконных - кв. 18</t>
  </si>
  <si>
    <t>Забивка двери - кв. 42; заделка отверстий, гнезд, борозд - кв. 43, ремонт двери, установка дверных приборов - 2 п.</t>
  </si>
  <si>
    <t xml:space="preserve">Установка стекол в деревяных переплетах - кв. 48; установка дверных приборов - 2 п.; </t>
  </si>
  <si>
    <t>Установка стекол в  деревянных переплетах - 3 п.</t>
  </si>
  <si>
    <t>Монтаж кабеля АВВГ 2х4, переразделка провода - кв. 27</t>
  </si>
  <si>
    <t>Смена ламп накаливания - кв. 5; смена патронов - кв. 4</t>
  </si>
  <si>
    <t>Монтаж выключателя - кв. 17</t>
  </si>
  <si>
    <t>Перепускание пол/сушилки через подвал - кв. 38</t>
  </si>
  <si>
    <t>№50/03</t>
  </si>
  <si>
    <t>№49/03</t>
  </si>
  <si>
    <t>Ремонт шиферной кровли</t>
  </si>
  <si>
    <t>№48/03</t>
  </si>
  <si>
    <t>Установка стекол в деревянных переплетах - кв. 98</t>
  </si>
  <si>
    <t>Ремонт инженерного оборудования</t>
  </si>
  <si>
    <t>Ремонтно-строительные работы</t>
  </si>
  <si>
    <t>Задолженность  УК: содержание и текущий ремонт (по начислению) по состоянию на 31.12.2012г.</t>
  </si>
  <si>
    <t>Отчет ООО УК "Наш дом" по выполненным работам за 2011г. по адресу пр. Амурская,14</t>
  </si>
  <si>
    <t>ремонт освещения элеваторных узлов</t>
  </si>
  <si>
    <t>кв 34 врезка двух перемычек Д-15мм 1,6м</t>
  </si>
  <si>
    <t>№12/01</t>
  </si>
  <si>
    <t>замена стояка отопления длиной-0,75м, Д-20 кв109</t>
  </si>
  <si>
    <t xml:space="preserve"> по КС - 3</t>
  </si>
  <si>
    <t>Задолженность УК: капитальный ремонт (по начислению) по состоянию на 31.12.2012г.</t>
  </si>
  <si>
    <t>Прочистка вентиляционных каналов, кв. 3 (1 эт.)</t>
  </si>
  <si>
    <t xml:space="preserve">Прочистка вентиляционных каналов, кв. 53 </t>
  </si>
  <si>
    <t>№ 69/01</t>
  </si>
  <si>
    <t>Замена водовода ХВС, ГВС</t>
  </si>
  <si>
    <t>Обшивка окна оргалитом - 1 п.</t>
  </si>
  <si>
    <t>№11/118</t>
  </si>
  <si>
    <t>Прочиска вентиляции, 2 колодца, кв.28</t>
  </si>
  <si>
    <t>Ремонт водовода ХВС, разводки отопления по подвалу</t>
  </si>
  <si>
    <t>пр. Мира, 14</t>
  </si>
  <si>
    <t>Замена ГВС блок № 2</t>
  </si>
  <si>
    <t>Ремонт кровли (демонтаж ограждения) подъезд № 5</t>
  </si>
  <si>
    <t>Ремонт подъездов № 1, 7</t>
  </si>
  <si>
    <t>Ремонт освещения по подвалу, ремонт ВРУ</t>
  </si>
  <si>
    <t>Установка почтовых ящиков подъезд № 6,7</t>
  </si>
  <si>
    <t>Замена водовода ХВС по подвалу блок № 1,2,3</t>
  </si>
  <si>
    <t>Обивка дверей кровельной сталью оцинкованной - 2 п.</t>
  </si>
  <si>
    <t>Навеска замка - 4 п.</t>
  </si>
  <si>
    <t>№12/3-2</t>
  </si>
  <si>
    <t>Посыпка песком пескоструйкой+работа дворника</t>
  </si>
  <si>
    <t>Разборка тумбы перфоратором,долбление перекрытия, замена стояков х/в, г/в - кв. 3</t>
  </si>
  <si>
    <t xml:space="preserve">Установка сборок по отоплению,холодной, горячей воды </t>
  </si>
  <si>
    <t>Ревизия вентилей - 1 п.</t>
  </si>
  <si>
    <t xml:space="preserve">Ревизия вентилей </t>
  </si>
  <si>
    <t>Ревизия вентилей; установка вентилей, смена сгонов - кв. 9</t>
  </si>
  <si>
    <t>Переборка сборки по стояку - 3 п.</t>
  </si>
  <si>
    <t>Ревизия вентилей - 1 блок; ревизия сборки - 2 блок</t>
  </si>
  <si>
    <t>Ревизия вентилей на стояках х/в</t>
  </si>
  <si>
    <t>Ревизия вентилей х/в, г/в</t>
  </si>
  <si>
    <t>Ревизия сборки, вентилей</t>
  </si>
  <si>
    <t>Ревизия вентилей, сборки</t>
  </si>
  <si>
    <t>№39/03</t>
  </si>
  <si>
    <t>Очистка канализационной сети внутр. - 2 п.</t>
  </si>
  <si>
    <t>Очистка дворовых территорий от снега</t>
  </si>
  <si>
    <t>№28/02</t>
  </si>
  <si>
    <t>№44/03</t>
  </si>
  <si>
    <t>№83/04</t>
  </si>
  <si>
    <t>Прочистка засоров замена стояка отопл.водовода подвал</t>
  </si>
  <si>
    <t>работы по проверке канализ. Вытяжек</t>
  </si>
  <si>
    <t>№6/01</t>
  </si>
  <si>
    <t>Вид работ</t>
  </si>
  <si>
    <t xml:space="preserve">Запуск стояков отопления через подвал - кв. 21, 22, 61, 64, 23 </t>
  </si>
  <si>
    <t>Установка скамейки - 1 п.; обшивка дверей досками - 3 п.</t>
  </si>
  <si>
    <t>акт №2/1</t>
  </si>
  <si>
    <t>Заделка отверстий, гнезд, борозд; обшивка двери ДСП - кв. 80; обшивка окон - 1 п.</t>
  </si>
  <si>
    <t>Заделка подвальных окон железом б/у</t>
  </si>
  <si>
    <t>Установка полотен: наружных кроме балконных, петля накладная - 4 п.</t>
  </si>
  <si>
    <t>Смена стекол в деревянных переплетах - 2,3 п.; обшивка окна оргалитом - 4 п.</t>
  </si>
  <si>
    <t>Смена дверных приборов - 3 п.</t>
  </si>
  <si>
    <t>Обшивка окна оргалитом</t>
  </si>
  <si>
    <t>Смена дверных приборов, забика двери и окна - кв. 65,66; смена дверных приборов, навеска замка- 1 п.; прибивка планки на двери - 4 п.</t>
  </si>
  <si>
    <t>Заделка подвальных окон: железом б/у, сталь полосовая перфорированная, обшивка окна оргалитом - 2 п.</t>
  </si>
  <si>
    <t>Заделка отверстий, гнезд, борозд - кв. 92</t>
  </si>
  <si>
    <t>Смена стекол в деревянных переплетах, обшивка окна оргалитом - кв 7, 8</t>
  </si>
  <si>
    <t>№ 47/12</t>
  </si>
  <si>
    <t>Обшивка штрабы ДСП - 2п.</t>
  </si>
  <si>
    <t>№68/01</t>
  </si>
  <si>
    <t>№14/01</t>
  </si>
  <si>
    <t>Замена подводки к радиаторам - кв. 12. 56, 4</t>
  </si>
  <si>
    <t>№34/11</t>
  </si>
  <si>
    <t>Очистка канализационной сети внутр.  - 5 п.</t>
  </si>
  <si>
    <t>Пробивка перекрытия, установка канал. чугунной трубы - кв. 2</t>
  </si>
  <si>
    <t>Прочистка вентиляционных каналов - кв. 116 (5 эт.); 139 (5 эт.); 58 (5 эт.)</t>
  </si>
  <si>
    <t xml:space="preserve">Прочистка вентиляционных каналов - кв. </t>
  </si>
  <si>
    <t>Прочистка вентиляционных каналов - кв. 63, 70, 71</t>
  </si>
  <si>
    <t>Отчет ООО УК "Наш дом" по выполненным работам за 2011г. по адресу пр.Мира,12</t>
  </si>
  <si>
    <t>Задолженность перед  УК: содержание и текущий ремонт (по начислению) по состоянию на 31.12.2011г.</t>
  </si>
  <si>
    <t>Отчет ООО УК "Наш дом" по выполненным работам за 2011г. по адресу пр.Мира,13</t>
  </si>
  <si>
    <t>Отчет ООО УК "Наш дом" по выполненным работам за 2011г. по адресу пр.Мира,14</t>
  </si>
  <si>
    <t xml:space="preserve"> установка щитов - 1, 2, 3, 7 п., заделка кирпичем дыр - 1 блок  </t>
  </si>
  <si>
    <t xml:space="preserve"> заваривание свища на п/сушителе - кв. 101,6 п</t>
  </si>
  <si>
    <t>Отчет ООО УК "Наш дом" по выполненным работам за 2011г. по адресу пр.Мира,15</t>
  </si>
  <si>
    <t>Отчет ООО УК "Наш дом" по выполненным работам за 2011г. по адресу пр.Мира,18</t>
  </si>
  <si>
    <t>Профосмотр</t>
  </si>
  <si>
    <t>Отчет ООО УК "Наш дом" по выполненным работам за 2011г. по адресу пр. Мира,24</t>
  </si>
  <si>
    <t>Отчет ООО УК "Наш дом" по выполненным работам за 2011г. по адресу пр. Мира,26</t>
  </si>
  <si>
    <t>Отчет ООО УК "Наш дом" по выполненным работам за 2011г. по адресу пр. Мира,28</t>
  </si>
  <si>
    <t>Установка заглушек, вентилей - подвал; смена вентилей, сгонов, вваривание резьбы - чердак</t>
  </si>
  <si>
    <t>сброс стояков ХВС, ГВС, прочистка засоров ХВС, ГВС - кв. 25, 31, 37</t>
  </si>
  <si>
    <t>№ 13/01</t>
  </si>
  <si>
    <t>Прочистка вентиляционных каналов - кв. 25,33</t>
  </si>
  <si>
    <t>Прочистка вентиляционных каналов - кв. 13</t>
  </si>
  <si>
    <t>Прочистка вентиляционных каналов - кв. 42</t>
  </si>
  <si>
    <t>Прочистка вентиляционных каналов - кв. 20</t>
  </si>
  <si>
    <t>Прочистка вентиляционных каналов - кв. 80</t>
  </si>
  <si>
    <t>№03/12</t>
  </si>
  <si>
    <t>№43/11</t>
  </si>
  <si>
    <t>Очистка дворовых территорий от снега -трактор</t>
  </si>
  <si>
    <t>№18/03</t>
  </si>
  <si>
    <t>Очистка канализационной сети: внутренней - 3 п.</t>
  </si>
  <si>
    <t>№72/03</t>
  </si>
  <si>
    <t>Замена канализационного стояка</t>
  </si>
  <si>
    <t>Замена канализационного стояка в подвале, трубы ПВХ, установка муфты - кв.24</t>
  </si>
  <si>
    <t>Замена части канализационного стояка</t>
  </si>
  <si>
    <t>Перепустили стояки п/сушит. -  кв. 55</t>
  </si>
  <si>
    <t>Отчет ООО УК "Наш дом" по выполненным работам за 2011г. по адресу пр. Комсомольский,30</t>
  </si>
  <si>
    <t>Отчет ООО УК "Наш дом" по выполненным работам за 2011г. по адресу пр. Комсомольский,32</t>
  </si>
  <si>
    <t>Отчет ООО УК "Наш дом" по выполненным работам за 2011г. по адресу пр. Мира,30</t>
  </si>
  <si>
    <t>Замена сборки на радиатор кв.14, стояк отопления Кв.22,28</t>
  </si>
  <si>
    <t>Отчет ООО УК "Наш дом" по выполненным работам за 2011г. по адресу пр. Мира,32</t>
  </si>
  <si>
    <t>Ремонт под-ого/подвального освещения - 1, 2 блок, 2 подвал</t>
  </si>
  <si>
    <t>Отчет ООО УК "Наш дом" по выполненным работам за 2011г. по адресу пр. Мира,34</t>
  </si>
  <si>
    <t>Замеры темп-ры воды в элеваторе, установка заглушек - кв.100</t>
  </si>
  <si>
    <t>Отчет ООО УК "Наш дом" по выполненным работам за 2011г. по адресу пр. Мира,36</t>
  </si>
  <si>
    <t>Уст-ка двер-х приборов - 3 п.; уст-ка щита на подв-е окно - 1 п.</t>
  </si>
  <si>
    <t>Замена подводки к радиатору - кв.92</t>
  </si>
  <si>
    <t xml:space="preserve">Заделка отверст. в перекрытиях - кв. 31,34,95,97,99,16; смена стекол - 4 п.;  пароизоляция - кв. 73, 74, 75, 58, 60, 96, 88 </t>
  </si>
  <si>
    <t>Разборка трубопроводов  4 п.</t>
  </si>
  <si>
    <t>Отчет ООО УК "Наш дом" по выполненным работам за 2011г. по адресу пр. Лесная,12</t>
  </si>
  <si>
    <t>Отчет ООО УК "Наш дом" по выполненным работам за 2011г. по адресу пр. Лесная,14</t>
  </si>
  <si>
    <t>Сброс и наполнение стояков ХВС, ГВС, кв. 54, ликвидация  пробоки в стояках - кв. 32</t>
  </si>
  <si>
    <t>Перепускание стояка отопления через подвал -кв.29</t>
  </si>
  <si>
    <t>Перепускание стояка отопления через подвал -кв.38</t>
  </si>
  <si>
    <t>Перепускание стояков отопления через подвал - кв.1,28</t>
  </si>
  <si>
    <t>Смена задвижек -4п.</t>
  </si>
  <si>
    <t>Слив и наполнение водой стояков ХВС,ГВС,отопл.</t>
  </si>
  <si>
    <t>Ревизия вентилей - кв.56</t>
  </si>
  <si>
    <t>№05/05</t>
  </si>
  <si>
    <t>Ремонт шиферной кровли - кв. 107</t>
  </si>
  <si>
    <t>пр. №5-11 от 02,02,2011</t>
  </si>
  <si>
    <t xml:space="preserve">Установка входной метал. двери </t>
  </si>
  <si>
    <t>Сбивание с кровли наледи</t>
  </si>
  <si>
    <t>проверка оголовков и вентиляц.колодцев</t>
  </si>
  <si>
    <t>Очистка от снега, наледи и льда крышек колодцев</t>
  </si>
  <si>
    <t>Пробивка ливневки</t>
  </si>
  <si>
    <t>Задолженность перед УК: содержание и текущий ремонт (по начислению) по состоянию на 31.12.2011г.</t>
  </si>
  <si>
    <t>Задолженность УК: капитальный ремонт (по начислению) по состоянию на 31.12.2011г.</t>
  </si>
  <si>
    <t>Задолженность перед УК по выполненным работам по содержанию и ремонту (по факту оплаты) по состоянию на 31.12.2011г.</t>
  </si>
  <si>
    <t>Очистка крыши и чердаков от снега</t>
  </si>
  <si>
    <t>откачка воды насосом</t>
  </si>
  <si>
    <t>очистка крыши и чердаков от снега</t>
  </si>
  <si>
    <t>Открытие, закрытие задвижек</t>
  </si>
  <si>
    <t>Очистка козырьков от мусора</t>
  </si>
  <si>
    <t>Демантаж, монтаж водосточных труб - кв. 2 , 6; 8 п.</t>
  </si>
  <si>
    <t>№47/11</t>
  </si>
  <si>
    <t>Очистка канал-ой сети - 2 п.</t>
  </si>
  <si>
    <t>№46/11</t>
  </si>
  <si>
    <t>Очистка канал-ой сети в подвале; замена кан-го стояка - кв. 18</t>
  </si>
  <si>
    <t>№45/11</t>
  </si>
  <si>
    <t>Забивка двери - кв. 28</t>
  </si>
  <si>
    <t>№42/11</t>
  </si>
  <si>
    <t>Замена водовода холодной воды - 2 блок</t>
  </si>
  <si>
    <t>№41/11</t>
  </si>
  <si>
    <t>Заглушили подводку холодной воды - кв. 13</t>
  </si>
  <si>
    <t>Капитальный ремонт</t>
  </si>
  <si>
    <t>Установка дверных приборов</t>
  </si>
  <si>
    <t>Установка дверных блоков - 1 п.;обшивка дверей - кв.98; обшивка штрабы - 5 п.;  6 п.</t>
  </si>
  <si>
    <t>Заваривание подвального окна  - кв.10,  забили 2окна - 1п -д - подвал,  прочистка вентиляции - кв.4,  заделка отверстий под плитой входа в подъезд  кв.12,15.</t>
  </si>
  <si>
    <t>Ревизия отопления-2,4под., замена отвода,  кв.43, кв.14,  замена канал. стояка - кв.26.</t>
  </si>
  <si>
    <t>Разборка, прокладка трубопроводов канал-и, очистка канализации- 4 п.</t>
  </si>
  <si>
    <t>Замена части стояка х/в - кв.59,   кв.28, кв.12, кв.7</t>
  </si>
  <si>
    <t>Прочистка канализации кв.1,29,25,3п.</t>
  </si>
  <si>
    <t>Очистка кан-ой сети - кв.20;смена стекол-2 п.;прочистка вент. каналов</t>
  </si>
  <si>
    <t>Установка сопел, замена канализационного стояка - кв.20,кв.81</t>
  </si>
  <si>
    <t xml:space="preserve">Сброс и наполнение стояков ХВС, ГВС кв. 40; </t>
  </si>
  <si>
    <t>Заваривание подвального окна - 2 блок</t>
  </si>
  <si>
    <t>Ревизия сборки по горячей воде - 1 п.</t>
  </si>
  <si>
    <t>Пробивка перекрытия, замена стояка х/в через перекрытия - кв.28, 32</t>
  </si>
  <si>
    <t>Вваривание вентиля, резьбы в подвале, прочистка стояка х/в с подвала - 6 п., кв. 96</t>
  </si>
  <si>
    <t>Замена стояка х/в через перекрытие - кв. 52, 56</t>
  </si>
  <si>
    <t>Заваривание свища на стояке гор. Воды - кв. 37</t>
  </si>
  <si>
    <t>Ревизия сборки по гор. воде в элеваторе - 2 блок</t>
  </si>
  <si>
    <t>Монтаж: конструкций дверей - кв. 16</t>
  </si>
  <si>
    <t>Замена части стояка отопления в подвале</t>
  </si>
  <si>
    <t>Заваривание 2-ух свищей на стояке отопления - кв. 26</t>
  </si>
  <si>
    <t>Обрезкаи заваривание стояка х/в - кв. 2</t>
  </si>
  <si>
    <t>Прочистка вентиляционных каналов - кв. 30</t>
  </si>
  <si>
    <t>Прочистка вентиляционных каналов - кв. 17</t>
  </si>
  <si>
    <t>№63/03</t>
  </si>
  <si>
    <t>Прочистка засоров ХВС, ГВС - кв. 16; замена сборки - кв. 41; прочистка стояка х/в - кв. 24</t>
  </si>
  <si>
    <t>Замена сборки на стояках х/в, г/в</t>
  </si>
  <si>
    <t>Перезапуск стояка отопления - кв. 45; замена стояка отопления - кв. 30</t>
  </si>
  <si>
    <t>Ревизия вентилей - 2 блок</t>
  </si>
  <si>
    <t>Ревизия вентилей - кв. 65</t>
  </si>
  <si>
    <t>№58/03</t>
  </si>
  <si>
    <t>Восстановление спуска в подвал</t>
  </si>
  <si>
    <t>Навеска замка - 2 блок</t>
  </si>
  <si>
    <t xml:space="preserve">Навеска замка - 1 п. </t>
  </si>
  <si>
    <t>Установка почтовых ящиков - 1 п.</t>
  </si>
  <si>
    <t>Установка дверных приборов - 1 п.</t>
  </si>
  <si>
    <t>Замена сборки по стояку горячей воды, смена вентилей, сгонов, вваривание резьбы - подвал</t>
  </si>
  <si>
    <t>уборка мусора - 1 блок</t>
  </si>
  <si>
    <t>Сброс и наполнение стояков ХВС, ГВС, смена сгонов, вентилей,  вваривание резьбы - подвал</t>
  </si>
  <si>
    <t>№09/02</t>
  </si>
  <si>
    <t>Ревизия вентилей, регулировка смывного бочка - кв. 26</t>
  </si>
  <si>
    <t>Замена стояка холодной воды в подвале</t>
  </si>
  <si>
    <t>Заваривание свища на стояке горячей воды - кв. 32, 36</t>
  </si>
  <si>
    <t>Пробивка перекрытия, замена стояка холодной воды - кв. 3, 7</t>
  </si>
  <si>
    <t>Замена стояка горячей, холодной воды - кв. 72</t>
  </si>
  <si>
    <t>Замена сборки на горячей/в в элеваторе - 2 п.</t>
  </si>
  <si>
    <t>Замена подводки к радиатору - кв. 62</t>
  </si>
  <si>
    <t>Смена предохранителя  - кв. 45</t>
  </si>
  <si>
    <t>Прочистка канализационного выпуска с подвала до колодца, установка пробки в подвале - 3 п.</t>
  </si>
  <si>
    <t>Очистка канализационной сети - 4 блок</t>
  </si>
  <si>
    <t>Оплачено: содержание и текущий ремонт за период с 01.04.2008 по 31.12.2011</t>
  </si>
  <si>
    <t>Выполнено работ: содержание и текущий ремонт за период с 01.04.2008 по 31.12.2011</t>
  </si>
  <si>
    <t>Смена ламп накаливания - кв. 17</t>
  </si>
  <si>
    <t>Смена ламп накаливания - кв. 19</t>
  </si>
  <si>
    <t>Монтаж выключателя - кв. 52</t>
  </si>
  <si>
    <t xml:space="preserve">Переразделка провода </t>
  </si>
  <si>
    <t>Монтажсветильника, провода, смена ламп накал. - кв. 95</t>
  </si>
  <si>
    <t>Монтаж выключателя, провода - 3 п.</t>
  </si>
  <si>
    <t>Установка металлических дверей</t>
  </si>
  <si>
    <t>№33/03</t>
  </si>
  <si>
    <t>Ремонт освещения - 4 п.</t>
  </si>
  <si>
    <t>Ремонт освещения - 1, 2 блок</t>
  </si>
  <si>
    <t xml:space="preserve">Ревизия ВРУ, переразделка провода </t>
  </si>
  <si>
    <t>Смена ламп накаливания - кв. 95</t>
  </si>
  <si>
    <t>Монтаж автоматического выключателя - кв. 45</t>
  </si>
  <si>
    <t>Смена ламп накаливания - кв. 65</t>
  </si>
  <si>
    <t>Смена ламп накаливания - кв. 21</t>
  </si>
  <si>
    <t>Смена ламп накаливания - кв. 3</t>
  </si>
  <si>
    <t>Смена ламп накаливания - кв. 61, 66</t>
  </si>
  <si>
    <t>Переразделка провода - кв. 46, 115, ВРУ</t>
  </si>
  <si>
    <t>Смена ламп накаливания - кв. 2</t>
  </si>
  <si>
    <t>Демонтаж, монтаж выключателя - кв. 69</t>
  </si>
  <si>
    <t>Смена ламп накаливания - кв.3, 60</t>
  </si>
  <si>
    <t>Ремонт подъездного/подвального освещения</t>
  </si>
  <si>
    <t>Очистка канализационной сети: внутренней - кв. 3</t>
  </si>
  <si>
    <t>№79/07</t>
  </si>
  <si>
    <t>Замена двух сборок по х/в, г/в - 4под.,  очистка канализ.сети: внутренней - подвал, кв.2</t>
  </si>
  <si>
    <t>Смена ламп накаливания - кв. 45, 38</t>
  </si>
  <si>
    <t>Заделка отвер. в перекрытиях -кв.22; укрепление перил -3 кв.</t>
  </si>
  <si>
    <t>№59/10</t>
  </si>
  <si>
    <t>Смена стекол - 5 п.; заделка слух. окон - кв. 98</t>
  </si>
  <si>
    <t>№131/10</t>
  </si>
  <si>
    <t>Ремонт подвального освещения - 2 п.</t>
  </si>
  <si>
    <t>Переразделка провода - кв. 2</t>
  </si>
  <si>
    <t>Монтаж выключателя, монтаж провода - кв. 93</t>
  </si>
  <si>
    <t>160/09</t>
  </si>
  <si>
    <t>№47/10</t>
  </si>
  <si>
    <t>№50/10</t>
  </si>
  <si>
    <t>№49/10</t>
  </si>
  <si>
    <t>№48/10</t>
  </si>
  <si>
    <t>№51/10</t>
  </si>
  <si>
    <t>Забивка слух. окон - кв. 30, 45</t>
  </si>
  <si>
    <t>№55/10</t>
  </si>
  <si>
    <t>Забивка сл. окон; заделка отверст. в перекрытиях - кв. 16,33,36</t>
  </si>
  <si>
    <t>№56/10</t>
  </si>
  <si>
    <t>№57/10</t>
  </si>
  <si>
    <t>Забивка окон досками; смена стекол - 1, 2 п.</t>
  </si>
  <si>
    <t>№58/10</t>
  </si>
  <si>
    <t>Забивка дверей - кв. 39, 70; забивка ниши оргалитом - кв. 54</t>
  </si>
  <si>
    <t>№133/10</t>
  </si>
  <si>
    <t>проверка вент.каналов</t>
  </si>
  <si>
    <t>провека вент.каналов</t>
  </si>
  <si>
    <t>Заделка продуха в подвал кирпичем</t>
  </si>
  <si>
    <t>Заделка отверстия в подвале в полкирпича</t>
  </si>
  <si>
    <t>№44/04</t>
  </si>
  <si>
    <t>№43/04</t>
  </si>
  <si>
    <t>Замена водовода ГВС</t>
  </si>
  <si>
    <t>№42/04</t>
  </si>
  <si>
    <t>Очистка дворовых территорий - трактор</t>
  </si>
  <si>
    <t>№27/04</t>
  </si>
  <si>
    <t>Изготовление, установка рам</t>
  </si>
  <si>
    <t>№24/04</t>
  </si>
  <si>
    <t>Замена горячего водоснабжения - 2 блок</t>
  </si>
  <si>
    <t>№40/11</t>
  </si>
  <si>
    <t>Очистка канализационной сети: внутренней - 7 п.</t>
  </si>
  <si>
    <t>Наполнение водой системы отопления - кв. 34</t>
  </si>
  <si>
    <t>Обследование радиатора, замена подводки - кв. 18</t>
  </si>
  <si>
    <t>Смена радиаторных пробок - кв. 184; смена сгонов - кв. 110</t>
  </si>
  <si>
    <t xml:space="preserve">Смена внутр. трубопроводов </t>
  </si>
  <si>
    <t>Смена внутр. трубопроводов</t>
  </si>
  <si>
    <t>Врезка ввода г/в в подвале; регулировка см. бачка - кв. 39</t>
  </si>
  <si>
    <t>Реазборка, сборка элеваторного узла</t>
  </si>
  <si>
    <t>Установка заглушки - кв. 13</t>
  </si>
  <si>
    <t>Ревизия задвижек, вентилей - 1 эл.</t>
  </si>
  <si>
    <t>Откачка воды с подвала</t>
  </si>
  <si>
    <t>№148/10</t>
  </si>
  <si>
    <t>Замена стояка канал-ии - кв. 31,34; установка заглушек - кв.16</t>
  </si>
  <si>
    <t>№147/10</t>
  </si>
  <si>
    <t>№145/10</t>
  </si>
  <si>
    <t>Замена подводки - кв. 93,94;замена канал. стояка-кв.128; замена крана - кв.130</t>
  </si>
  <si>
    <t>№144/10</t>
  </si>
  <si>
    <t>Заваривание свища на п/суш.-кв.20;замена стояка отопл.-кв. 28</t>
  </si>
  <si>
    <t>№143/10</t>
  </si>
  <si>
    <t>Замена подводки к рад-ру-кв.31;замена розлива отопл.-1 бл.</t>
  </si>
  <si>
    <t>№142/10</t>
  </si>
  <si>
    <t>№141/10</t>
  </si>
  <si>
    <t>Смена кранов-кв.59; времен. заделка свищей - кв.52,63; смена радиат-ых пробок - кв.32</t>
  </si>
  <si>
    <t>№140/10</t>
  </si>
  <si>
    <t>Сброс и наполнение стояков ХВС, ГВС, установка вентилей, смена сгонов - 8 п.</t>
  </si>
  <si>
    <t>№07/02</t>
  </si>
  <si>
    <t>№81/09</t>
  </si>
  <si>
    <t>Установка поручней - 2п.</t>
  </si>
  <si>
    <t>№82/09</t>
  </si>
  <si>
    <t>Установка поручней, ремонт лестничных ограждений - 1п.</t>
  </si>
  <si>
    <t>№83/09</t>
  </si>
  <si>
    <t>Установка рам, остекление - 4п.</t>
  </si>
  <si>
    <t>№84/09</t>
  </si>
  <si>
    <t>Установка балконного блока</t>
  </si>
  <si>
    <t>№82/10</t>
  </si>
  <si>
    <t>Замена канал-го стояка - кв. 35</t>
  </si>
  <si>
    <t>Очистка канализационной сети внутренней - 3 блок</t>
  </si>
  <si>
    <t>Очистка канализационной сети внутренней - 1 п.</t>
  </si>
  <si>
    <t>Замена кан-го отвода по стояку - подвал</t>
  </si>
  <si>
    <t>Очистка канализационной сети внутренней - подвал</t>
  </si>
  <si>
    <t>Демонтаж, монтаж канал-ых труб - 5 п.</t>
  </si>
  <si>
    <t>№09/08</t>
  </si>
  <si>
    <t xml:space="preserve">Установка дверей - 2 п. </t>
  </si>
  <si>
    <t xml:space="preserve">Установка дверей - 1 п. </t>
  </si>
  <si>
    <t>Установка выключателя нагрузки - кв. 18</t>
  </si>
  <si>
    <t>Установка выключателя нагрузки - кв. 13</t>
  </si>
  <si>
    <t>Установка выключателя нагрузки - кв. 5,6,67,68,80,79,101</t>
  </si>
  <si>
    <t>Установка выключателя нагрузки - кв. 21,49</t>
  </si>
  <si>
    <t>Установка выключателя нагрузки - кв. 4</t>
  </si>
  <si>
    <t>Установка выключателя нагрузки - кв. 57,65,75,76</t>
  </si>
  <si>
    <t>Установка выключателя нагрузки - кв. 65</t>
  </si>
  <si>
    <t xml:space="preserve">Заделка перекрытия кв. 101; обшивка дверей 1 п.; навеска замка 2, 3 бл.; смена стекл 3, 4 подъезд </t>
  </si>
  <si>
    <t>Смена стояков хол., гор. воды - кв. 23 ,26</t>
  </si>
  <si>
    <t>Разборка, сборка элев. узла - 1, 2 эл.</t>
  </si>
  <si>
    <t>Смена стояков х/в, г/в - кв. 3, 14</t>
  </si>
  <si>
    <t>Смена внутр. трубопроводов - кв. 1</t>
  </si>
  <si>
    <t>Ревизия задвижек - 4 эл., установка вентилей - 7 п.</t>
  </si>
  <si>
    <t>Смена внутр. трубопроводов - кв. 40</t>
  </si>
  <si>
    <t>Демонтаж, установка радиаторов - кв. 77</t>
  </si>
  <si>
    <t>Прочистка засоров ХВС,ГВС-кв.28,смена сгонов-подвал,2п.</t>
  </si>
  <si>
    <t>ремонт помещений элеваторных узлов</t>
  </si>
  <si>
    <t>очистка канализации - подвал</t>
  </si>
  <si>
    <t>№155/09</t>
  </si>
  <si>
    <t>Промывка радиаторов,демонтаж 5секций радиатора - 34,108кв.</t>
  </si>
  <si>
    <t>№156/09</t>
  </si>
  <si>
    <t>Очистка канализ.сети: внутренней - 2блок,ввариван.резьбы кв.14</t>
  </si>
  <si>
    <t>№157/09</t>
  </si>
  <si>
    <t>№168/09</t>
  </si>
  <si>
    <t>№169/09</t>
  </si>
  <si>
    <t>Замена канализационного стояка, замена стояка х/в - кв.64.Замена канализационного стояка - кв.10</t>
  </si>
  <si>
    <t>№170/09</t>
  </si>
  <si>
    <t>Замена стояка х/в</t>
  </si>
  <si>
    <t>№172/09</t>
  </si>
  <si>
    <t>Установка рам,остекление, рем.лестничн.огражден. - 7п.</t>
  </si>
  <si>
    <t>№85/09</t>
  </si>
  <si>
    <t>Устан.рам,остекл., рем.лестн.решеток, устан.поручн.- 2,6п.</t>
  </si>
  <si>
    <t>№86/09</t>
  </si>
  <si>
    <t>Установка двери в электрощитовую - 3п.</t>
  </si>
  <si>
    <t>87/09</t>
  </si>
  <si>
    <t>Установка тамбурн.двери,изгот., установка перилл - 5п.</t>
  </si>
  <si>
    <t>№101/09</t>
  </si>
  <si>
    <t>Ремонт подъезда - №2</t>
  </si>
  <si>
    <t>№102/09</t>
  </si>
  <si>
    <t>Ремонт подъезда №1</t>
  </si>
  <si>
    <t>№16/09</t>
  </si>
  <si>
    <t>№15/09</t>
  </si>
  <si>
    <t>№14/09</t>
  </si>
  <si>
    <t>Переразделка, монтаж кабеля</t>
  </si>
  <si>
    <t>Монтаж провода - 4 п.</t>
  </si>
  <si>
    <t>№05/07</t>
  </si>
  <si>
    <t>Монтаж выключателей нагрузки  - кв. 29</t>
  </si>
  <si>
    <t>Монтаж выключателей нагрузки - кв. 1</t>
  </si>
  <si>
    <t>Смена ламп накаливания - кв. 20</t>
  </si>
  <si>
    <t>Смена ламп накаливания, патронов - кв. 12</t>
  </si>
  <si>
    <t>Переразделка проводов</t>
  </si>
  <si>
    <t>№03/07</t>
  </si>
  <si>
    <t>Сброс и наполнение стояков ХВС, ГВС, установка вентилей, смена сгонов, установка радиаторных пробок - кв. 9</t>
  </si>
  <si>
    <t>Очистка канализационной сети внутр. - кв. 80, 83</t>
  </si>
  <si>
    <t>Пробивка перекрытия, замена стояка канал-ии - кв. 27, 30</t>
  </si>
  <si>
    <t>№79/06</t>
  </si>
  <si>
    <t>Замена стояка канализации</t>
  </si>
  <si>
    <t>масляная окраска метал-их труб</t>
  </si>
  <si>
    <t>Замена канал-го стояка - кв. 15</t>
  </si>
  <si>
    <t>Прокладка трубопроводов отопления - 5 п.</t>
  </si>
  <si>
    <t>Смена задвижек - подвал</t>
  </si>
  <si>
    <t>Установка вентилей, смена сгонов - кв. 85</t>
  </si>
  <si>
    <t>Смена сгонов, вваривание резьбы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</si>
</sst>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0_ ;[Red]\-#,##0.00\ "/>
  </numFmts>
  <fonts count="54">
    <font>
      <sz val="10"/>
      <name val="Arial"/>
      <family val="0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Arno Pro Smbd Captio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 wrapText="1"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wrapText="1"/>
    </xf>
    <xf numFmtId="2" fontId="2" fillId="32" borderId="0" xfId="0" applyNumberFormat="1" applyFont="1" applyFill="1" applyAlignment="1">
      <alignment wrapText="1"/>
    </xf>
    <xf numFmtId="0" fontId="0" fillId="0" borderId="14" xfId="0" applyFill="1" applyBorder="1" applyAlignment="1">
      <alignment wrapText="1"/>
    </xf>
    <xf numFmtId="2" fontId="0" fillId="33" borderId="15" xfId="0" applyNumberFormat="1" applyFill="1" applyBorder="1" applyAlignment="1">
      <alignment wrapText="1"/>
    </xf>
    <xf numFmtId="2" fontId="0" fillId="33" borderId="0" xfId="0" applyNumberFormat="1" applyFill="1" applyAlignment="1">
      <alignment wrapText="1"/>
    </xf>
    <xf numFmtId="0" fontId="0" fillId="0" borderId="15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2" fontId="2" fillId="32" borderId="19" xfId="0" applyNumberFormat="1" applyFont="1" applyFill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180" fontId="0" fillId="0" borderId="15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2" fontId="0" fillId="32" borderId="15" xfId="0" applyNumberFormat="1" applyFill="1" applyBorder="1" applyAlignment="1">
      <alignment wrapText="1"/>
    </xf>
    <xf numFmtId="2" fontId="0" fillId="33" borderId="17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Alignment="1">
      <alignment horizontal="center" wrapText="1"/>
    </xf>
    <xf numFmtId="181" fontId="0" fillId="0" borderId="15" xfId="0" applyNumberFormat="1" applyBorder="1" applyAlignment="1">
      <alignment wrapText="1"/>
    </xf>
    <xf numFmtId="2" fontId="0" fillId="34" borderId="15" xfId="0" applyNumberForma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" fillId="0" borderId="15" xfId="0" applyFont="1" applyBorder="1" applyAlignment="1">
      <alignment horizontal="justify" wrapText="1"/>
    </xf>
    <xf numFmtId="180" fontId="0" fillId="0" borderId="0" xfId="0" applyNumberFormat="1" applyAlignment="1">
      <alignment wrapText="1"/>
    </xf>
    <xf numFmtId="180" fontId="0" fillId="0" borderId="18" xfId="0" applyNumberForma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2" fontId="0" fillId="35" borderId="15" xfId="0" applyNumberFormat="1" applyFill="1" applyBorder="1" applyAlignment="1">
      <alignment wrapText="1"/>
    </xf>
    <xf numFmtId="0" fontId="9" fillId="0" borderId="0" xfId="0" applyFont="1" applyAlignment="1">
      <alignment wrapText="1"/>
    </xf>
    <xf numFmtId="0" fontId="9" fillId="33" borderId="15" xfId="0" applyFont="1" applyFill="1" applyBorder="1" applyAlignment="1">
      <alignment wrapText="1"/>
    </xf>
    <xf numFmtId="40" fontId="0" fillId="0" borderId="0" xfId="0" applyNumberFormat="1" applyAlignment="1">
      <alignment wrapText="1"/>
    </xf>
    <xf numFmtId="0" fontId="9" fillId="33" borderId="21" xfId="0" applyFont="1" applyFill="1" applyBorder="1" applyAlignment="1">
      <alignment wrapText="1"/>
    </xf>
    <xf numFmtId="0" fontId="9" fillId="0" borderId="15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40" fontId="5" fillId="0" borderId="15" xfId="0" applyNumberFormat="1" applyFont="1" applyBorder="1" applyAlignment="1">
      <alignment wrapText="1"/>
    </xf>
    <xf numFmtId="40" fontId="10" fillId="34" borderId="15" xfId="0" applyNumberFormat="1" applyFont="1" applyFill="1" applyBorder="1" applyAlignment="1">
      <alignment wrapText="1"/>
    </xf>
    <xf numFmtId="40" fontId="10" fillId="32" borderId="15" xfId="0" applyNumberFormat="1" applyFont="1" applyFill="1" applyBorder="1" applyAlignment="1">
      <alignment wrapText="1"/>
    </xf>
    <xf numFmtId="49" fontId="0" fillId="0" borderId="17" xfId="0" applyNumberFormat="1" applyBorder="1" applyAlignment="1">
      <alignment wrapText="1"/>
    </xf>
    <xf numFmtId="0" fontId="0" fillId="0" borderId="22" xfId="0" applyBorder="1" applyAlignment="1">
      <alignment wrapText="1"/>
    </xf>
    <xf numFmtId="49" fontId="1" fillId="0" borderId="23" xfId="55" applyNumberFormat="1" applyFont="1" applyFill="1" applyBorder="1" applyAlignment="1">
      <alignment horizontal="center" vertical="center" wrapText="1"/>
      <protection/>
    </xf>
    <xf numFmtId="0" fontId="1" fillId="0" borderId="18" xfId="55" applyFont="1" applyBorder="1" applyAlignment="1">
      <alignment horizontal="center" vertical="center" wrapText="1"/>
      <protection/>
    </xf>
    <xf numFmtId="0" fontId="1" fillId="0" borderId="22" xfId="55" applyFont="1" applyBorder="1" applyAlignment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35" borderId="24" xfId="0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11" fillId="0" borderId="0" xfId="0" applyFont="1" applyAlignment="1">
      <alignment wrapText="1"/>
    </xf>
    <xf numFmtId="2" fontId="11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13" fillId="0" borderId="25" xfId="0" applyNumberFormat="1" applyFont="1" applyBorder="1" applyAlignment="1">
      <alignment/>
    </xf>
    <xf numFmtId="0" fontId="0" fillId="0" borderId="0" xfId="0" applyNumberFormat="1" applyFill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9" fillId="0" borderId="1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0" fontId="14" fillId="0" borderId="15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40" fontId="14" fillId="0" borderId="0" xfId="0" applyNumberFormat="1" applyFont="1" applyAlignment="1">
      <alignment wrapText="1"/>
    </xf>
    <xf numFmtId="0" fontId="5" fillId="0" borderId="17" xfId="0" applyFont="1" applyFill="1" applyBorder="1" applyAlignment="1">
      <alignment wrapText="1"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40" fontId="5" fillId="0" borderId="17" xfId="55" applyNumberFormat="1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0" fillId="32" borderId="21" xfId="0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180" fontId="5" fillId="0" borderId="15" xfId="0" applyNumberFormat="1" applyFont="1" applyBorder="1" applyAlignment="1">
      <alignment wrapText="1"/>
    </xf>
    <xf numFmtId="40" fontId="5" fillId="0" borderId="0" xfId="0" applyNumberFormat="1" applyFont="1" applyAlignment="1">
      <alignment wrapText="1"/>
    </xf>
    <xf numFmtId="0" fontId="5" fillId="32" borderId="21" xfId="0" applyFont="1" applyFill="1" applyBorder="1" applyAlignment="1">
      <alignment wrapText="1"/>
    </xf>
    <xf numFmtId="0" fontId="14" fillId="0" borderId="14" xfId="0" applyFont="1" applyBorder="1" applyAlignment="1">
      <alignment wrapText="1"/>
    </xf>
    <xf numFmtId="2" fontId="14" fillId="0" borderId="15" xfId="0" applyNumberFormat="1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6" fontId="14" fillId="0" borderId="15" xfId="0" applyNumberFormat="1" applyFont="1" applyBorder="1" applyAlignment="1">
      <alignment wrapText="1"/>
    </xf>
    <xf numFmtId="49" fontId="14" fillId="0" borderId="15" xfId="0" applyNumberFormat="1" applyFont="1" applyBorder="1" applyAlignment="1">
      <alignment wrapText="1"/>
    </xf>
    <xf numFmtId="49" fontId="14" fillId="0" borderId="17" xfId="0" applyNumberFormat="1" applyFont="1" applyBorder="1" applyAlignment="1">
      <alignment wrapText="1"/>
    </xf>
    <xf numFmtId="0" fontId="14" fillId="0" borderId="20" xfId="0" applyFont="1" applyBorder="1" applyAlignment="1">
      <alignment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2" fontId="5" fillId="33" borderId="15" xfId="0" applyNumberFormat="1" applyFont="1" applyFill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0" xfId="0" applyFont="1" applyBorder="1" applyAlignment="1">
      <alignment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40" fontId="5" fillId="0" borderId="27" xfId="55" applyNumberFormat="1" applyFont="1" applyBorder="1" applyAlignment="1">
      <alignment horizontal="center" vertical="center" wrapText="1"/>
      <protection/>
    </xf>
    <xf numFmtId="0" fontId="5" fillId="32" borderId="0" xfId="0" applyFont="1" applyFill="1" applyAlignment="1">
      <alignment wrapText="1"/>
    </xf>
    <xf numFmtId="2" fontId="10" fillId="32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2" fontId="5" fillId="35" borderId="15" xfId="0" applyNumberFormat="1" applyFont="1" applyFill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0" fontId="5" fillId="0" borderId="17" xfId="0" applyNumberFormat="1" applyFont="1" applyBorder="1" applyAlignment="1">
      <alignment wrapText="1"/>
    </xf>
    <xf numFmtId="40" fontId="10" fillId="0" borderId="15" xfId="0" applyNumberFormat="1" applyFont="1" applyBorder="1" applyAlignment="1">
      <alignment wrapText="1"/>
    </xf>
    <xf numFmtId="40" fontId="10" fillId="0" borderId="15" xfId="0" applyNumberFormat="1" applyFont="1" applyBorder="1" applyAlignment="1">
      <alignment horizontal="right" wrapText="1"/>
    </xf>
    <xf numFmtId="40" fontId="10" fillId="34" borderId="15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0" fontId="5" fillId="0" borderId="0" xfId="0" applyNumberFormat="1" applyFont="1" applyFill="1" applyBorder="1" applyAlignment="1">
      <alignment wrapText="1"/>
    </xf>
    <xf numFmtId="0" fontId="5" fillId="0" borderId="15" xfId="0" applyFont="1" applyBorder="1" applyAlignment="1">
      <alignment/>
    </xf>
    <xf numFmtId="49" fontId="5" fillId="0" borderId="28" xfId="55" applyNumberFormat="1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/>
    </xf>
    <xf numFmtId="2" fontId="10" fillId="32" borderId="15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2" fontId="5" fillId="33" borderId="0" xfId="0" applyNumberFormat="1" applyFont="1" applyFill="1" applyAlignment="1">
      <alignment wrapText="1"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32" borderId="15" xfId="0" applyFont="1" applyFill="1" applyBorder="1" applyAlignment="1">
      <alignment wrapText="1"/>
    </xf>
    <xf numFmtId="180" fontId="5" fillId="0" borderId="18" xfId="0" applyNumberFormat="1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181" fontId="5" fillId="0" borderId="15" xfId="0" applyNumberFormat="1" applyFont="1" applyBorder="1" applyAlignment="1">
      <alignment wrapText="1"/>
    </xf>
    <xf numFmtId="0" fontId="5" fillId="32" borderId="18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32" borderId="30" xfId="0" applyFont="1" applyFill="1" applyBorder="1" applyAlignment="1">
      <alignment horizont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2" fontId="10" fillId="33" borderId="15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2" fontId="10" fillId="0" borderId="0" xfId="0" applyNumberFormat="1" applyFont="1" applyAlignment="1">
      <alignment wrapText="1"/>
    </xf>
    <xf numFmtId="2" fontId="5" fillId="0" borderId="18" xfId="0" applyNumberFormat="1" applyFont="1" applyBorder="1" applyAlignment="1">
      <alignment wrapText="1"/>
    </xf>
    <xf numFmtId="16" fontId="5" fillId="0" borderId="15" xfId="0" applyNumberFormat="1" applyFont="1" applyBorder="1" applyAlignment="1">
      <alignment wrapText="1"/>
    </xf>
    <xf numFmtId="0" fontId="10" fillId="32" borderId="20" xfId="0" applyFont="1" applyFill="1" applyBorder="1" applyAlignment="1">
      <alignment horizontal="center" wrapText="1"/>
    </xf>
    <xf numFmtId="2" fontId="5" fillId="32" borderId="15" xfId="0" applyNumberFormat="1" applyFont="1" applyFill="1" applyBorder="1" applyAlignment="1">
      <alignment wrapText="1"/>
    </xf>
    <xf numFmtId="0" fontId="10" fillId="33" borderId="26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0" borderId="18" xfId="0" applyFont="1" applyBorder="1" applyAlignment="1">
      <alignment wrapText="1"/>
    </xf>
    <xf numFmtId="0" fontId="10" fillId="32" borderId="15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31" xfId="0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49" fontId="5" fillId="0" borderId="31" xfId="0" applyNumberFormat="1" applyFont="1" applyBorder="1" applyAlignment="1">
      <alignment wrapText="1"/>
    </xf>
    <xf numFmtId="180" fontId="5" fillId="0" borderId="20" xfId="0" applyNumberFormat="1" applyFont="1" applyBorder="1" applyAlignment="1">
      <alignment wrapText="1"/>
    </xf>
    <xf numFmtId="16" fontId="5" fillId="0" borderId="20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 wrapText="1"/>
    </xf>
    <xf numFmtId="0" fontId="10" fillId="32" borderId="15" xfId="0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wrapText="1"/>
    </xf>
    <xf numFmtId="0" fontId="10" fillId="32" borderId="26" xfId="0" applyFont="1" applyFill="1" applyBorder="1" applyAlignment="1">
      <alignment wrapText="1"/>
    </xf>
    <xf numFmtId="2" fontId="14" fillId="0" borderId="15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 wrapText="1"/>
    </xf>
    <xf numFmtId="180" fontId="0" fillId="0" borderId="0" xfId="0" applyNumberFormat="1" applyBorder="1" applyAlignment="1">
      <alignment wrapText="1"/>
    </xf>
    <xf numFmtId="180" fontId="0" fillId="33" borderId="0" xfId="0" applyNumberFormat="1" applyFill="1" applyBorder="1" applyAlignment="1">
      <alignment wrapText="1"/>
    </xf>
    <xf numFmtId="180" fontId="0" fillId="18" borderId="0" xfId="0" applyNumberFormat="1" applyFill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/>
    </xf>
    <xf numFmtId="49" fontId="5" fillId="0" borderId="35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10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wrapText="1"/>
    </xf>
    <xf numFmtId="0" fontId="10" fillId="32" borderId="26" xfId="0" applyFont="1" applyFill="1" applyBorder="1" applyAlignment="1">
      <alignment horizontal="center" wrapText="1"/>
    </xf>
    <xf numFmtId="0" fontId="10" fillId="32" borderId="26" xfId="0" applyFont="1" applyFill="1" applyBorder="1" applyAlignment="1">
      <alignment horizontal="center"/>
    </xf>
    <xf numFmtId="0" fontId="10" fillId="33" borderId="30" xfId="0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0" fontId="10" fillId="33" borderId="21" xfId="0" applyFont="1" applyFill="1" applyBorder="1" applyAlignment="1">
      <alignment/>
    </xf>
    <xf numFmtId="40" fontId="10" fillId="33" borderId="15" xfId="0" applyNumberFormat="1" applyFont="1" applyFill="1" applyBorder="1" applyAlignment="1">
      <alignment wrapText="1"/>
    </xf>
    <xf numFmtId="40" fontId="10" fillId="32" borderId="17" xfId="0" applyNumberFormat="1" applyFont="1" applyFill="1" applyBorder="1" applyAlignment="1">
      <alignment wrapText="1"/>
    </xf>
    <xf numFmtId="40" fontId="10" fillId="33" borderId="17" xfId="0" applyNumberFormat="1" applyFont="1" applyFill="1" applyBorder="1" applyAlignment="1">
      <alignment wrapText="1"/>
    </xf>
    <xf numFmtId="2" fontId="13" fillId="32" borderId="15" xfId="0" applyNumberFormat="1" applyFont="1" applyFill="1" applyBorder="1" applyAlignment="1">
      <alignment wrapText="1"/>
    </xf>
    <xf numFmtId="2" fontId="13" fillId="33" borderId="15" xfId="0" applyNumberFormat="1" applyFont="1" applyFill="1" applyBorder="1" applyAlignment="1">
      <alignment wrapText="1"/>
    </xf>
    <xf numFmtId="0" fontId="10" fillId="33" borderId="15" xfId="0" applyFont="1" applyFill="1" applyBorder="1" applyAlignment="1">
      <alignment/>
    </xf>
    <xf numFmtId="49" fontId="10" fillId="33" borderId="15" xfId="0" applyNumberFormat="1" applyFont="1" applyFill="1" applyBorder="1" applyAlignment="1">
      <alignment/>
    </xf>
    <xf numFmtId="0" fontId="10" fillId="33" borderId="17" xfId="0" applyFont="1" applyFill="1" applyBorder="1" applyAlignment="1">
      <alignment wrapText="1"/>
    </xf>
    <xf numFmtId="0" fontId="5" fillId="36" borderId="15" xfId="0" applyFont="1" applyFill="1" applyBorder="1" applyAlignment="1">
      <alignment wrapText="1"/>
    </xf>
    <xf numFmtId="49" fontId="5" fillId="36" borderId="15" xfId="0" applyNumberFormat="1" applyFont="1" applyFill="1" applyBorder="1" applyAlignment="1">
      <alignment wrapText="1"/>
    </xf>
    <xf numFmtId="0" fontId="10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32" borderId="26" xfId="54" applyFill="1" applyBorder="1" applyAlignment="1">
      <alignment wrapText="1"/>
      <protection/>
    </xf>
    <xf numFmtId="2" fontId="9" fillId="32" borderId="26" xfId="54" applyNumberFormat="1" applyFont="1" applyFill="1" applyBorder="1" applyAlignment="1">
      <alignment wrapText="1"/>
      <protection/>
    </xf>
    <xf numFmtId="0" fontId="0" fillId="33" borderId="15" xfId="54" applyFill="1" applyBorder="1" applyAlignment="1">
      <alignment/>
      <protection/>
    </xf>
    <xf numFmtId="0" fontId="0" fillId="33" borderId="15" xfId="54" applyFill="1" applyBorder="1" applyAlignment="1">
      <alignment wrapText="1"/>
      <protection/>
    </xf>
    <xf numFmtId="2" fontId="9" fillId="33" borderId="15" xfId="54" applyNumberFormat="1" applyFont="1" applyFill="1" applyBorder="1" applyAlignment="1">
      <alignment wrapText="1"/>
      <protection/>
    </xf>
    <xf numFmtId="0" fontId="0" fillId="0" borderId="15" xfId="54" applyBorder="1" applyAlignment="1">
      <alignment wrapText="1"/>
      <protection/>
    </xf>
    <xf numFmtId="2" fontId="0" fillId="0" borderId="15" xfId="54" applyNumberFormat="1" applyBorder="1" applyAlignment="1">
      <alignment wrapText="1"/>
      <protection/>
    </xf>
    <xf numFmtId="0" fontId="0" fillId="0" borderId="15" xfId="54" applyFont="1" applyBorder="1" applyAlignment="1">
      <alignment wrapText="1"/>
      <protection/>
    </xf>
    <xf numFmtId="0" fontId="0" fillId="0" borderId="18" xfId="54" applyFont="1" applyBorder="1" applyAlignment="1">
      <alignment wrapText="1"/>
      <protection/>
    </xf>
    <xf numFmtId="0" fontId="0" fillId="0" borderId="18" xfId="54" applyBorder="1" applyAlignment="1">
      <alignment wrapText="1"/>
      <protection/>
    </xf>
    <xf numFmtId="2" fontId="0" fillId="0" borderId="18" xfId="54" applyNumberFormat="1" applyBorder="1" applyAlignment="1">
      <alignment wrapText="1"/>
      <protection/>
    </xf>
    <xf numFmtId="0" fontId="0" fillId="32" borderId="30" xfId="54" applyFill="1" applyBorder="1" applyAlignment="1">
      <alignment wrapText="1"/>
      <protection/>
    </xf>
    <xf numFmtId="2" fontId="9" fillId="32" borderId="30" xfId="54" applyNumberFormat="1" applyFont="1" applyFill="1" applyBorder="1" applyAlignment="1">
      <alignment wrapText="1"/>
      <protection/>
    </xf>
    <xf numFmtId="0" fontId="0" fillId="33" borderId="15" xfId="0" applyFill="1" applyBorder="1" applyAlignment="1">
      <alignment/>
    </xf>
    <xf numFmtId="0" fontId="2" fillId="33" borderId="15" xfId="54" applyFont="1" applyFill="1" applyBorder="1" applyAlignment="1">
      <alignment horizontal="left" wrapText="1"/>
      <protection/>
    </xf>
    <xf numFmtId="0" fontId="0" fillId="0" borderId="15" xfId="54" applyFont="1" applyBorder="1" applyAlignment="1">
      <alignment wrapText="1"/>
      <protection/>
    </xf>
    <xf numFmtId="49" fontId="0" fillId="0" borderId="15" xfId="54" applyNumberFormat="1" applyBorder="1" applyAlignment="1">
      <alignment wrapText="1"/>
      <protection/>
    </xf>
    <xf numFmtId="49" fontId="0" fillId="0" borderId="15" xfId="54" applyNumberFormat="1" applyFont="1" applyBorder="1" applyAlignment="1">
      <alignment wrapText="1"/>
      <protection/>
    </xf>
    <xf numFmtId="49" fontId="0" fillId="0" borderId="15" xfId="54" applyNumberFormat="1" applyFont="1" applyBorder="1" applyAlignment="1">
      <alignment wrapText="1"/>
      <protection/>
    </xf>
    <xf numFmtId="2" fontId="0" fillId="0" borderId="15" xfId="54" applyNumberFormat="1" applyFont="1" applyBorder="1" applyAlignment="1">
      <alignment wrapText="1"/>
      <protection/>
    </xf>
    <xf numFmtId="2" fontId="0" fillId="0" borderId="15" xfId="54" applyNumberFormat="1" applyFill="1" applyBorder="1" applyAlignment="1">
      <alignment wrapText="1"/>
      <protection/>
    </xf>
    <xf numFmtId="0" fontId="0" fillId="33" borderId="15" xfId="54" applyFont="1" applyFill="1" applyBorder="1" applyAlignment="1">
      <alignment/>
      <protection/>
    </xf>
    <xf numFmtId="2" fontId="0" fillId="33" borderId="15" xfId="54" applyNumberFormat="1" applyFill="1" applyBorder="1" applyAlignment="1">
      <alignment wrapText="1"/>
      <protection/>
    </xf>
    <xf numFmtId="0" fontId="9" fillId="33" borderId="15" xfId="54" applyFont="1" applyFill="1" applyBorder="1" applyAlignment="1">
      <alignment wrapText="1"/>
      <protection/>
    </xf>
    <xf numFmtId="0" fontId="0" fillId="33" borderId="15" xfId="54" applyFont="1" applyFill="1" applyBorder="1" applyAlignment="1">
      <alignment wrapText="1"/>
      <protection/>
    </xf>
    <xf numFmtId="0" fontId="0" fillId="37" borderId="15" xfId="54" applyFill="1" applyBorder="1" applyAlignment="1">
      <alignment wrapText="1"/>
      <protection/>
    </xf>
    <xf numFmtId="0" fontId="9" fillId="37" borderId="15" xfId="54" applyFont="1" applyFill="1" applyBorder="1" applyAlignment="1">
      <alignment wrapText="1"/>
      <protection/>
    </xf>
    <xf numFmtId="2" fontId="9" fillId="37" borderId="15" xfId="54" applyNumberFormat="1" applyFont="1" applyFill="1" applyBorder="1" applyAlignment="1">
      <alignment wrapText="1"/>
      <protection/>
    </xf>
    <xf numFmtId="40" fontId="17" fillId="0" borderId="15" xfId="53" applyNumberFormat="1" applyBorder="1" applyAlignment="1">
      <alignment wrapText="1"/>
      <protection/>
    </xf>
    <xf numFmtId="40" fontId="9" fillId="34" borderId="15" xfId="53" applyNumberFormat="1" applyFont="1" applyFill="1" applyBorder="1" applyAlignment="1">
      <alignment wrapText="1"/>
      <protection/>
    </xf>
    <xf numFmtId="40" fontId="9" fillId="0" borderId="15" xfId="53" applyNumberFormat="1" applyFont="1" applyBorder="1" applyAlignment="1">
      <alignment wrapText="1"/>
      <protection/>
    </xf>
    <xf numFmtId="40" fontId="9" fillId="0" borderId="15" xfId="53" applyNumberFormat="1" applyFont="1" applyBorder="1" applyAlignment="1">
      <alignment horizontal="right" wrapText="1"/>
      <protection/>
    </xf>
    <xf numFmtId="40" fontId="9" fillId="34" borderId="15" xfId="53" applyNumberFormat="1" applyFont="1" applyFill="1" applyBorder="1" applyAlignment="1">
      <alignment horizontal="right" wrapText="1"/>
      <protection/>
    </xf>
    <xf numFmtId="40" fontId="9" fillId="32" borderId="15" xfId="53" applyNumberFormat="1" applyFont="1" applyFill="1" applyBorder="1" applyAlignment="1">
      <alignment wrapText="1"/>
      <protection/>
    </xf>
    <xf numFmtId="0" fontId="6" fillId="0" borderId="0" xfId="0" applyFont="1" applyAlignment="1">
      <alignment/>
    </xf>
    <xf numFmtId="2" fontId="6" fillId="0" borderId="15" xfId="54" applyNumberFormat="1" applyFont="1" applyBorder="1" applyAlignment="1">
      <alignment wrapText="1"/>
      <protection/>
    </xf>
    <xf numFmtId="0" fontId="6" fillId="0" borderId="15" xfId="0" applyFont="1" applyBorder="1" applyAlignment="1">
      <alignment/>
    </xf>
    <xf numFmtId="0" fontId="9" fillId="0" borderId="30" xfId="53" applyFont="1" applyFill="1" applyBorder="1" applyAlignment="1">
      <alignment horizontal="left" wrapText="1"/>
      <protection/>
    </xf>
    <xf numFmtId="40" fontId="9" fillId="0" borderId="0" xfId="53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9" fillId="0" borderId="0" xfId="53" applyFont="1" applyFill="1" applyBorder="1" applyAlignment="1">
      <alignment horizontal="left" wrapText="1"/>
      <protection/>
    </xf>
    <xf numFmtId="0" fontId="6" fillId="0" borderId="15" xfId="54" applyFont="1" applyFill="1" applyBorder="1" applyAlignment="1">
      <alignment horizontal="left"/>
      <protection/>
    </xf>
    <xf numFmtId="2" fontId="7" fillId="0" borderId="15" xfId="54" applyNumberFormat="1" applyFont="1" applyFill="1" applyBorder="1" applyAlignment="1">
      <alignment wrapText="1"/>
      <protection/>
    </xf>
    <xf numFmtId="0" fontId="6" fillId="0" borderId="15" xfId="54" applyFont="1" applyFill="1" applyBorder="1" applyAlignment="1">
      <alignment horizontal="left" wrapText="1"/>
      <protection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6" fillId="0" borderId="15" xfId="54" applyNumberFormat="1" applyFont="1" applyFill="1" applyBorder="1" applyAlignment="1">
      <alignment wrapText="1"/>
      <protection/>
    </xf>
    <xf numFmtId="0" fontId="19" fillId="0" borderId="0" xfId="0" applyFont="1" applyBorder="1" applyAlignment="1">
      <alignment/>
    </xf>
    <xf numFmtId="0" fontId="10" fillId="33" borderId="21" xfId="0" applyFont="1" applyFill="1" applyBorder="1" applyAlignment="1">
      <alignment horizontal="left" wrapText="1"/>
    </xf>
    <xf numFmtId="0" fontId="10" fillId="33" borderId="26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32" borderId="34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0" fillId="32" borderId="21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32" borderId="21" xfId="0" applyFont="1" applyFill="1" applyBorder="1" applyAlignment="1">
      <alignment wrapText="1"/>
    </xf>
    <xf numFmtId="0" fontId="5" fillId="32" borderId="26" xfId="0" applyFont="1" applyFill="1" applyBorder="1" applyAlignment="1">
      <alignment wrapText="1"/>
    </xf>
    <xf numFmtId="0" fontId="5" fillId="32" borderId="20" xfId="0" applyFont="1" applyFill="1" applyBorder="1" applyAlignment="1">
      <alignment wrapText="1"/>
    </xf>
    <xf numFmtId="0" fontId="5" fillId="0" borderId="15" xfId="0" applyFont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0" fillId="0" borderId="38" xfId="0" applyFont="1" applyBorder="1" applyAlignment="1">
      <alignment horizontal="center" wrapText="1"/>
    </xf>
    <xf numFmtId="0" fontId="13" fillId="33" borderId="26" xfId="0" applyFont="1" applyFill="1" applyBorder="1" applyAlignment="1">
      <alignment horizontal="left" wrapText="1"/>
    </xf>
    <xf numFmtId="0" fontId="14" fillId="33" borderId="26" xfId="0" applyFont="1" applyFill="1" applyBorder="1" applyAlignment="1">
      <alignment horizontal="left" wrapText="1"/>
    </xf>
    <xf numFmtId="0" fontId="14" fillId="33" borderId="20" xfId="0" applyFont="1" applyFill="1" applyBorder="1" applyAlignment="1">
      <alignment horizontal="left" wrapText="1"/>
    </xf>
    <xf numFmtId="0" fontId="13" fillId="33" borderId="26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wrapText="1"/>
    </xf>
    <xf numFmtId="0" fontId="13" fillId="33" borderId="2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3" fillId="32" borderId="26" xfId="0" applyFont="1" applyFill="1" applyBorder="1" applyAlignment="1">
      <alignment horizontal="center" wrapText="1"/>
    </xf>
    <xf numFmtId="0" fontId="13" fillId="32" borderId="20" xfId="0" applyFont="1" applyFill="1" applyBorder="1" applyAlignment="1">
      <alignment horizontal="center" wrapText="1"/>
    </xf>
    <xf numFmtId="0" fontId="13" fillId="32" borderId="21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34" borderId="15" xfId="0" applyFont="1" applyFill="1" applyBorder="1" applyAlignment="1">
      <alignment horizontal="left" wrapText="1"/>
    </xf>
    <xf numFmtId="0" fontId="10" fillId="32" borderId="15" xfId="0" applyFont="1" applyFill="1" applyBorder="1" applyAlignment="1">
      <alignment horizontal="left" wrapText="1"/>
    </xf>
    <xf numFmtId="0" fontId="10" fillId="32" borderId="26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80" fontId="10" fillId="33" borderId="21" xfId="0" applyNumberFormat="1" applyFont="1" applyFill="1" applyBorder="1" applyAlignment="1">
      <alignment horizontal="left" wrapText="1"/>
    </xf>
    <xf numFmtId="180" fontId="10" fillId="33" borderId="26" xfId="0" applyNumberFormat="1" applyFont="1" applyFill="1" applyBorder="1" applyAlignment="1">
      <alignment horizontal="left" wrapText="1"/>
    </xf>
    <xf numFmtId="180" fontId="10" fillId="33" borderId="20" xfId="0" applyNumberFormat="1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2" borderId="26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5" fillId="0" borderId="0" xfId="0" applyFont="1" applyAlignment="1">
      <alignment/>
    </xf>
    <xf numFmtId="0" fontId="10" fillId="32" borderId="26" xfId="0" applyFont="1" applyFill="1" applyBorder="1" applyAlignment="1">
      <alignment horizontal="left" wrapText="1"/>
    </xf>
    <xf numFmtId="0" fontId="10" fillId="32" borderId="30" xfId="0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wrapText="1"/>
    </xf>
    <xf numFmtId="0" fontId="10" fillId="32" borderId="20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0" fillId="0" borderId="26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5" fillId="33" borderId="21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0" fillId="32" borderId="20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left" wrapText="1"/>
    </xf>
    <xf numFmtId="0" fontId="5" fillId="32" borderId="26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10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justify" wrapText="1"/>
    </xf>
    <xf numFmtId="0" fontId="6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6" fillId="0" borderId="15" xfId="54" applyFont="1" applyBorder="1" applyAlignment="1">
      <alignment horizontal="left" wrapText="1"/>
      <protection/>
    </xf>
    <xf numFmtId="0" fontId="7" fillId="0" borderId="21" xfId="54" applyFont="1" applyFill="1" applyBorder="1" applyAlignment="1">
      <alignment horizontal="center"/>
      <protection/>
    </xf>
    <xf numFmtId="0" fontId="7" fillId="0" borderId="26" xfId="54" applyFont="1" applyFill="1" applyBorder="1" applyAlignment="1">
      <alignment horizontal="center"/>
      <protection/>
    </xf>
    <xf numFmtId="0" fontId="7" fillId="0" borderId="20" xfId="54" applyFont="1" applyFill="1" applyBorder="1" applyAlignment="1">
      <alignment horizontal="center"/>
      <protection/>
    </xf>
    <xf numFmtId="0" fontId="6" fillId="0" borderId="21" xfId="54" applyFont="1" applyBorder="1" applyAlignment="1">
      <alignment horizontal="left" wrapText="1"/>
      <protection/>
    </xf>
    <xf numFmtId="0" fontId="6" fillId="0" borderId="26" xfId="54" applyFont="1" applyBorder="1" applyAlignment="1">
      <alignment horizontal="left" wrapText="1"/>
      <protection/>
    </xf>
    <xf numFmtId="0" fontId="6" fillId="0" borderId="20" xfId="54" applyFont="1" applyBorder="1" applyAlignment="1">
      <alignment horizontal="left" wrapText="1"/>
      <protection/>
    </xf>
    <xf numFmtId="0" fontId="6" fillId="0" borderId="15" xfId="54" applyFont="1" applyFill="1" applyBorder="1" applyAlignment="1">
      <alignment horizontal="left"/>
      <protection/>
    </xf>
    <xf numFmtId="0" fontId="19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33" borderId="21" xfId="0" applyFont="1" applyFill="1" applyBorder="1" applyAlignment="1">
      <alignment wrapText="1"/>
    </xf>
    <xf numFmtId="0" fontId="10" fillId="33" borderId="26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9" fillId="34" borderId="15" xfId="53" applyFont="1" applyFill="1" applyBorder="1" applyAlignment="1">
      <alignment horizontal="left" wrapText="1"/>
      <protection/>
    </xf>
    <xf numFmtId="0" fontId="9" fillId="32" borderId="15" xfId="53" applyFont="1" applyFill="1" applyBorder="1" applyAlignment="1">
      <alignment horizontal="left" wrapText="1"/>
      <protection/>
    </xf>
    <xf numFmtId="0" fontId="9" fillId="0" borderId="15" xfId="53" applyFont="1" applyBorder="1" applyAlignment="1">
      <alignment horizontal="left" wrapText="1"/>
      <protection/>
    </xf>
    <xf numFmtId="0" fontId="18" fillId="0" borderId="0" xfId="54" applyFont="1" applyAlignment="1">
      <alignment horizontal="center"/>
      <protection/>
    </xf>
    <xf numFmtId="0" fontId="2" fillId="32" borderId="26" xfId="54" applyFont="1" applyFill="1" applyBorder="1" applyAlignment="1">
      <alignment horizontal="left" wrapText="1"/>
      <protection/>
    </xf>
    <xf numFmtId="0" fontId="2" fillId="32" borderId="30" xfId="54" applyFont="1" applyFill="1" applyBorder="1" applyAlignment="1">
      <alignment horizontal="left" wrapText="1"/>
      <protection/>
    </xf>
    <xf numFmtId="0" fontId="17" fillId="0" borderId="15" xfId="53" applyBorder="1" applyAlignment="1">
      <alignment horizontal="left" wrapText="1"/>
      <protection/>
    </xf>
    <xf numFmtId="0" fontId="16" fillId="33" borderId="21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6" fillId="33" borderId="2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0" fontId="9" fillId="33" borderId="20" xfId="0" applyFont="1" applyFill="1" applyBorder="1" applyAlignment="1">
      <alignment horizontal="left" wrapText="1"/>
    </xf>
    <xf numFmtId="40" fontId="10" fillId="32" borderId="22" xfId="0" applyNumberFormat="1" applyFont="1" applyFill="1" applyBorder="1" applyAlignment="1">
      <alignment horizontal="left" wrapText="1"/>
    </xf>
    <xf numFmtId="40" fontId="10" fillId="32" borderId="30" xfId="0" applyNumberFormat="1" applyFont="1" applyFill="1" applyBorder="1" applyAlignment="1">
      <alignment horizontal="left" wrapText="1"/>
    </xf>
    <xf numFmtId="40" fontId="10" fillId="32" borderId="25" xfId="0" applyNumberFormat="1" applyFont="1" applyFill="1" applyBorder="1" applyAlignment="1">
      <alignment horizontal="left" wrapText="1"/>
    </xf>
    <xf numFmtId="40" fontId="10" fillId="32" borderId="34" xfId="0" applyNumberFormat="1" applyFont="1" applyFill="1" applyBorder="1" applyAlignment="1">
      <alignment horizontal="left" wrapText="1"/>
    </xf>
    <xf numFmtId="40" fontId="10" fillId="32" borderId="37" xfId="0" applyNumberFormat="1" applyFont="1" applyFill="1" applyBorder="1" applyAlignment="1">
      <alignment horizontal="left" wrapText="1"/>
    </xf>
    <xf numFmtId="40" fontId="10" fillId="32" borderId="31" xfId="0" applyNumberFormat="1" applyFont="1" applyFill="1" applyBorder="1" applyAlignment="1">
      <alignment horizontal="left" wrapText="1"/>
    </xf>
    <xf numFmtId="40" fontId="10" fillId="32" borderId="18" xfId="0" applyNumberFormat="1" applyFont="1" applyFill="1" applyBorder="1" applyAlignment="1">
      <alignment horizontal="right" wrapText="1"/>
    </xf>
    <xf numFmtId="40" fontId="10" fillId="32" borderId="17" xfId="0" applyNumberFormat="1" applyFont="1" applyFill="1" applyBorder="1" applyAlignment="1">
      <alignment horizontal="right" wrapText="1"/>
    </xf>
    <xf numFmtId="40" fontId="10" fillId="32" borderId="15" xfId="0" applyNumberFormat="1" applyFont="1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0" fontId="0" fillId="35" borderId="30" xfId="0" applyFill="1" applyBorder="1" applyAlignment="1">
      <alignment horizontal="left" wrapText="1"/>
    </xf>
    <xf numFmtId="0" fontId="0" fillId="35" borderId="25" xfId="0" applyFill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4" xfId="53"/>
    <cellStyle name="Обычный_Жилсервис 4 подомовой учет" xfId="54"/>
    <cellStyle name="Обычный_Победы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spektor\&#1088;&#1072;&#1073;&#1086;&#1095;&#1080;&#1081;%20&#1089;&#1090;&#1086;&#1083;\Documents%20and%20Settings\User\&#1056;&#1072;&#1073;&#1086;&#1095;&#1080;&#1081;%20&#1089;&#1090;&#1086;&#1083;\&#1057;&#1072;&#1085;&#1080;&#1090;&#1072;&#1088;&#1082;&#1072;\2011%20&#1075;\&#1044;&#1059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86;&#1076;&#1086;&#1084;&#1086;&#1074;&#1086;&#1081;%20%202010-2011\&#1046;&#1080;&#1083;&#1089;&#1077;&#1088;&#1074;&#1080;&#1089;%204%20&#1055;&#1086;&#1076;&#1086;&#1084;&#1086;&#1074;&#1086;&#1081;%20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spektor\&#1088;&#1072;&#1073;&#1086;&#1095;&#1080;&#1081;%20&#1089;&#1090;&#1086;&#1083;\Documents%20and%20Settings\User\&#1056;&#1072;&#1073;&#1086;&#1095;&#1080;&#1081;%20&#1089;&#1090;&#1086;&#1083;\&#1082;&#1091;&#1079;&#1085;&#1077;&#1094;&#1086;&#1074;&#1072;\&#1057;&#1072;&#1085;&#1080;&#1090;&#1072;&#1088;&#1082;&#1072;\2011%20&#1075;\&#1044;&#1059;%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72;&#1085;&#1080;&#1090;&#1072;&#1088;&#1082;&#1072;\2011%20&#1075;\&#1044;&#1059;%2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86;&#1076;&#1086;&#1084;&#1086;&#1074;&#1086;&#1081;%20%202010-2011\&#1054;&#1090;&#1095;&#1077;&#1090;\&#1046;&#1080;&#1083;&#1089;&#1077;&#1088;&#1074;&#1080;&#1089;%204%20&#1055;&#1086;&#1076;&#1086;&#1084;&#1086;&#1074;&#1086;&#1081;%20%20-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\Desktop\&#1054;&#1090;&#1095;&#1077;&#1090;\&#1046;&#1080;&#1083;&#1089;&#1077;&#1088;&#1074;&#1080;&#1089;%204%20&#1055;&#1086;&#1076;&#1086;&#1084;&#1086;&#1074;&#1086;&#1081;%20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12">
          <cell r="Z12">
            <v>11654.833999999999</v>
          </cell>
        </row>
      </sheetData>
      <sheetData sheetId="7">
        <row r="12">
          <cell r="Z12">
            <v>11654.833999999999</v>
          </cell>
        </row>
      </sheetData>
      <sheetData sheetId="8">
        <row r="12">
          <cell r="Z12">
            <v>11654.833999999999</v>
          </cell>
        </row>
      </sheetData>
      <sheetData sheetId="9">
        <row r="11">
          <cell r="R11">
            <v>12170.519999999999</v>
          </cell>
        </row>
      </sheetData>
      <sheetData sheetId="10">
        <row r="11">
          <cell r="R11">
            <v>12170.519999999999</v>
          </cell>
        </row>
      </sheetData>
      <sheetData sheetId="11">
        <row r="11">
          <cell r="R11">
            <v>12170.519999999999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ий 1"/>
      <sheetName val="Комсомольский 2"/>
      <sheetName val="Комсомольский 4"/>
      <sheetName val="Комсомольский 6"/>
      <sheetName val="Комсомольский 9"/>
      <sheetName val="Комсомольский 12"/>
      <sheetName val="Комсомольский 18"/>
      <sheetName val="Комсомольский 20"/>
      <sheetName val="Комсомольский 22"/>
      <sheetName val="Комсомольский 24"/>
      <sheetName val="Комсомольский 26"/>
      <sheetName val="Комсомольский 28"/>
      <sheetName val="Комсомольский 30"/>
      <sheetName val="Комсомольский 32"/>
      <sheetName val="Комсомольский 34"/>
      <sheetName val="Комсомольский 36"/>
      <sheetName val="Мира 2"/>
      <sheetName val="Мира 4"/>
      <sheetName val="Мира 6"/>
      <sheetName val="Мира 8"/>
      <sheetName val="Мира 10"/>
      <sheetName val="Мира 12"/>
      <sheetName val="Мира 13"/>
      <sheetName val="Мира 14"/>
      <sheetName val="Мира 15"/>
      <sheetName val="Мира 18"/>
      <sheetName val="Мира 22"/>
      <sheetName val="Мира 24"/>
      <sheetName val="Мира 26"/>
      <sheetName val="Мира 28"/>
      <sheetName val="Мира 30"/>
      <sheetName val="Мира 32"/>
      <sheetName val="Мира 34"/>
      <sheetName val="Мира 36"/>
      <sheetName val="Лесная 12"/>
      <sheetName val="Лесная 14"/>
      <sheetName val="Амурская 12"/>
      <sheetName val="Амурская 14"/>
      <sheetName val="Амурская 16"/>
    </sheetNames>
    <sheetDataSet>
      <sheetData sheetId="0">
        <row r="97">
          <cell r="E97">
            <v>1200453.09</v>
          </cell>
        </row>
      </sheetData>
      <sheetData sheetId="1">
        <row r="158">
          <cell r="E158">
            <v>2649591.67</v>
          </cell>
        </row>
      </sheetData>
      <sheetData sheetId="2">
        <row r="117">
          <cell r="E117">
            <v>1844557.93</v>
          </cell>
        </row>
        <row r="120">
          <cell r="E120">
            <v>880433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5">
        <row r="13">
          <cell r="Z13">
            <v>20141.882999999998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13">
          <cell r="Z13">
            <v>20141.882999999998</v>
          </cell>
        </row>
        <row r="16">
          <cell r="Z16">
            <v>12812.488999999998</v>
          </cell>
        </row>
        <row r="17">
          <cell r="Z17">
            <v>12936.6</v>
          </cell>
        </row>
        <row r="18">
          <cell r="Z18">
            <v>12035.517000000002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ий 1"/>
      <sheetName val="Комсомольский 2"/>
      <sheetName val="Комсомольский 4"/>
      <sheetName val="Комсомольский 6"/>
      <sheetName val="Комсомольский 9"/>
      <sheetName val="Комсомольский 12"/>
      <sheetName val="Комсомольский 18"/>
      <sheetName val="Комсомольский 20"/>
      <sheetName val="Комсомольский 22"/>
      <sheetName val="Комсомольский 24"/>
      <sheetName val="Комсомольский 26"/>
      <sheetName val="Комсомольский 28"/>
      <sheetName val="Комсомольский 30"/>
      <sheetName val="Комсомольский 32"/>
      <sheetName val="Комсомольский 34"/>
      <sheetName val="Комсомольский 36"/>
      <sheetName val="Мира 2"/>
      <sheetName val="Мира 4"/>
      <sheetName val="Мира 6"/>
      <sheetName val="Мира 8"/>
      <sheetName val="Мира 10"/>
      <sheetName val="Мира 12"/>
      <sheetName val="Мира 13"/>
      <sheetName val="Мира 14"/>
      <sheetName val="Мира 15"/>
      <sheetName val="Мира 18"/>
      <sheetName val="Мира 22"/>
      <sheetName val="Мира 24"/>
      <sheetName val="Мира 26"/>
      <sheetName val="Мира 28"/>
      <sheetName val="Мира 30"/>
      <sheetName val="Мира 32"/>
      <sheetName val="Мира 34"/>
      <sheetName val="Мира 36"/>
      <sheetName val="Лесная 12"/>
      <sheetName val="Лесная 14"/>
      <sheetName val="Амурская 12"/>
      <sheetName val="Амурская 14"/>
      <sheetName val="Амурская 16"/>
    </sheetNames>
    <sheetDataSet>
      <sheetData sheetId="3">
        <row r="199">
          <cell r="E199">
            <v>738909.79</v>
          </cell>
        </row>
      </sheetData>
      <sheetData sheetId="4">
        <row r="107">
          <cell r="E107">
            <v>1816854.45</v>
          </cell>
        </row>
      </sheetData>
      <sheetData sheetId="5">
        <row r="106">
          <cell r="E106">
            <v>1974599.48</v>
          </cell>
        </row>
      </sheetData>
      <sheetData sheetId="6">
        <row r="110">
          <cell r="E110">
            <v>1493711.13</v>
          </cell>
        </row>
      </sheetData>
      <sheetData sheetId="7">
        <row r="101">
          <cell r="E101">
            <v>1415576.06</v>
          </cell>
        </row>
        <row r="104">
          <cell r="E104">
            <v>588749</v>
          </cell>
        </row>
      </sheetData>
      <sheetData sheetId="8">
        <row r="109">
          <cell r="E109">
            <v>1339011.4</v>
          </cell>
        </row>
      </sheetData>
      <sheetData sheetId="9">
        <row r="115">
          <cell r="E115">
            <v>1655705.15</v>
          </cell>
        </row>
      </sheetData>
      <sheetData sheetId="10">
        <row r="101">
          <cell r="E101">
            <v>1871904.8</v>
          </cell>
        </row>
      </sheetData>
      <sheetData sheetId="11">
        <row r="102">
          <cell r="E102">
            <v>812151.99</v>
          </cell>
        </row>
      </sheetData>
      <sheetData sheetId="12">
        <row r="69">
          <cell r="E69">
            <v>634695.22</v>
          </cell>
        </row>
      </sheetData>
      <sheetData sheetId="13">
        <row r="68">
          <cell r="E68">
            <v>729882.44</v>
          </cell>
        </row>
        <row r="69">
          <cell r="E69">
            <v>106843.59</v>
          </cell>
        </row>
      </sheetData>
      <sheetData sheetId="14">
        <row r="73">
          <cell r="E73">
            <v>948896.135682</v>
          </cell>
        </row>
        <row r="76">
          <cell r="E76">
            <v>548650.64</v>
          </cell>
        </row>
      </sheetData>
      <sheetData sheetId="15">
        <row r="80">
          <cell r="E80">
            <v>771261.39</v>
          </cell>
        </row>
        <row r="83">
          <cell r="E83">
            <v>367783</v>
          </cell>
        </row>
      </sheetData>
      <sheetData sheetId="16">
        <row r="88">
          <cell r="E88">
            <v>671873.09</v>
          </cell>
        </row>
      </sheetData>
      <sheetData sheetId="17">
        <row r="62">
          <cell r="E62">
            <v>518904.33</v>
          </cell>
        </row>
      </sheetData>
      <sheetData sheetId="18">
        <row r="83">
          <cell r="E83">
            <v>0</v>
          </cell>
        </row>
      </sheetData>
      <sheetData sheetId="19">
        <row r="78">
          <cell r="E78">
            <v>642640.15</v>
          </cell>
        </row>
      </sheetData>
      <sheetData sheetId="20">
        <row r="68">
          <cell r="E68">
            <v>610070.03</v>
          </cell>
        </row>
      </sheetData>
      <sheetData sheetId="21">
        <row r="83">
          <cell r="E83">
            <v>529614.5700000001</v>
          </cell>
        </row>
        <row r="86">
          <cell r="E86">
            <v>0</v>
          </cell>
        </row>
      </sheetData>
      <sheetData sheetId="22">
        <row r="112">
          <cell r="E112">
            <v>1281578.06</v>
          </cell>
        </row>
        <row r="115">
          <cell r="E115">
            <v>0</v>
          </cell>
        </row>
      </sheetData>
      <sheetData sheetId="23">
        <row r="129">
          <cell r="E129">
            <v>1885745.66</v>
          </cell>
        </row>
      </sheetData>
      <sheetData sheetId="24">
        <row r="138">
          <cell r="E138">
            <v>1158990.99</v>
          </cell>
        </row>
      </sheetData>
      <sheetData sheetId="25">
        <row r="69">
          <cell r="E69">
            <v>309199.4</v>
          </cell>
        </row>
        <row r="72">
          <cell r="E72">
            <v>0</v>
          </cell>
        </row>
      </sheetData>
      <sheetData sheetId="27">
        <row r="255">
          <cell r="E255">
            <v>952907.77</v>
          </cell>
        </row>
      </sheetData>
      <sheetData sheetId="29">
        <row r="97">
          <cell r="E97">
            <v>972911.9</v>
          </cell>
        </row>
        <row r="100">
          <cell r="E100">
            <v>0</v>
          </cell>
        </row>
      </sheetData>
      <sheetData sheetId="30">
        <row r="93">
          <cell r="E93">
            <v>1109709.26</v>
          </cell>
        </row>
        <row r="96">
          <cell r="E96">
            <v>0</v>
          </cell>
        </row>
      </sheetData>
      <sheetData sheetId="31">
        <row r="151">
          <cell r="E151">
            <v>1947966.59</v>
          </cell>
        </row>
        <row r="154">
          <cell r="E154">
            <v>427293</v>
          </cell>
        </row>
      </sheetData>
      <sheetData sheetId="32">
        <row r="113">
          <cell r="E113">
            <v>1814121.19</v>
          </cell>
        </row>
        <row r="116">
          <cell r="E116">
            <v>0</v>
          </cell>
        </row>
      </sheetData>
      <sheetData sheetId="33">
        <row r="139">
          <cell r="E139">
            <v>2647923.28</v>
          </cell>
        </row>
      </sheetData>
      <sheetData sheetId="34">
        <row r="103">
          <cell r="E103">
            <v>1313808.94</v>
          </cell>
        </row>
      </sheetData>
      <sheetData sheetId="35">
        <row r="93">
          <cell r="E93">
            <v>1377548.46</v>
          </cell>
        </row>
      </sheetData>
      <sheetData sheetId="36">
        <row r="114">
          <cell r="E114">
            <v>1501223.91</v>
          </cell>
        </row>
        <row r="117">
          <cell r="E117">
            <v>207794.14</v>
          </cell>
        </row>
      </sheetData>
      <sheetData sheetId="37">
        <row r="89">
          <cell r="E89">
            <v>861598.2</v>
          </cell>
        </row>
        <row r="92">
          <cell r="E92">
            <v>539745</v>
          </cell>
        </row>
      </sheetData>
      <sheetData sheetId="38">
        <row r="104">
          <cell r="E104">
            <v>1140010.22</v>
          </cell>
        </row>
        <row r="107">
          <cell r="E10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ий 1"/>
      <sheetName val="Комсомольский 2"/>
      <sheetName val="Комсомольский 4"/>
      <sheetName val="Комсомольский 6"/>
      <sheetName val="Комсомольский 9"/>
      <sheetName val="Комсомольский 12"/>
      <sheetName val="Комсомольский 18"/>
      <sheetName val="Комсомольский 20"/>
      <sheetName val="Комсомольский 22"/>
      <sheetName val="Комсомольский 24"/>
      <sheetName val="Комсомольский 26"/>
      <sheetName val="Комсомольский 28"/>
      <sheetName val="Комсомольский 30"/>
      <sheetName val="Комсомольский 32"/>
      <sheetName val="Комсомольский 34"/>
      <sheetName val="Комсомольский 36"/>
      <sheetName val="Мира 2"/>
      <sheetName val="Мира 4"/>
      <sheetName val="Мира 6"/>
      <sheetName val="Мира 8"/>
      <sheetName val="Мира 10"/>
      <sheetName val="Мира 12"/>
      <sheetName val="Мира 13"/>
      <sheetName val="Мира 14"/>
      <sheetName val="Мира 15"/>
      <sheetName val="Мира 18"/>
      <sheetName val="Мира 22"/>
      <sheetName val="Мира 24"/>
      <sheetName val="Мира 26"/>
      <sheetName val="Мира 28"/>
      <sheetName val="Мира 30"/>
      <sheetName val="Мира 32"/>
      <sheetName val="Мира 34"/>
      <sheetName val="Мира 36"/>
      <sheetName val="Лесная 12"/>
      <sheetName val="Лесная 14"/>
      <sheetName val="Амурская 12"/>
      <sheetName val="Амурская 14"/>
      <sheetName val="Амурская 16"/>
    </sheetNames>
    <sheetDataSet>
      <sheetData sheetId="18">
        <row r="75">
          <cell r="E75">
            <v>183898.96249999997</v>
          </cell>
        </row>
        <row r="78">
          <cell r="E78">
            <v>566104.22</v>
          </cell>
        </row>
        <row r="82">
          <cell r="E82">
            <v>48649.16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3"/>
  <sheetViews>
    <sheetView zoomScalePageLayoutView="0" workbookViewId="0" topLeftCell="A1">
      <pane ySplit="3" topLeftCell="A97" activePane="bottomLeft" state="frozen"/>
      <selection pane="topLeft" activeCell="B1" sqref="B1"/>
      <selection pane="bottomLeft" activeCell="E101" sqref="E101"/>
    </sheetView>
  </sheetViews>
  <sheetFormatPr defaultColWidth="13.421875" defaultRowHeight="12.75" outlineLevelRow="2"/>
  <cols>
    <col min="1" max="1" width="3.421875" style="42" customWidth="1"/>
    <col min="2" max="2" width="11.7109375" style="42" customWidth="1"/>
    <col min="3" max="3" width="16.00390625" style="42" customWidth="1"/>
    <col min="4" max="4" width="70.28125" style="42" customWidth="1"/>
    <col min="5" max="5" width="17.8515625" style="90" customWidth="1"/>
    <col min="6" max="6" width="24.14062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5" ht="15" thickBot="1">
      <c r="A1" s="258" t="s">
        <v>1368</v>
      </c>
      <c r="B1" s="259"/>
      <c r="C1" s="259"/>
      <c r="D1" s="259"/>
      <c r="E1" s="260"/>
    </row>
    <row r="2" spans="1:5" ht="18" customHeight="1">
      <c r="A2" s="76"/>
      <c r="B2" s="77" t="s">
        <v>1570</v>
      </c>
      <c r="C2" s="78" t="s">
        <v>1571</v>
      </c>
      <c r="D2" s="78" t="s">
        <v>2186</v>
      </c>
      <c r="E2" s="79" t="s">
        <v>1573</v>
      </c>
    </row>
    <row r="3" spans="1:5" s="56" customFormat="1" ht="16.5" customHeight="1">
      <c r="A3" s="261" t="s">
        <v>1575</v>
      </c>
      <c r="B3" s="262"/>
      <c r="C3" s="262"/>
      <c r="D3" s="263"/>
      <c r="E3" s="196">
        <f>E4+E8+E10+E14</f>
        <v>239471.49200000003</v>
      </c>
    </row>
    <row r="4" spans="1:5" s="56" customFormat="1" ht="16.5" customHeight="1" outlineLevel="1">
      <c r="A4" s="255" t="s">
        <v>1589</v>
      </c>
      <c r="B4" s="256"/>
      <c r="C4" s="256"/>
      <c r="D4" s="257"/>
      <c r="E4" s="195">
        <f>SUM(E5:E7)</f>
        <v>120271.48000000001</v>
      </c>
    </row>
    <row r="5" spans="1:5" s="56" customFormat="1" ht="16.5" customHeight="1" outlineLevel="2">
      <c r="A5" s="81"/>
      <c r="B5" s="82" t="s">
        <v>1470</v>
      </c>
      <c r="C5" s="82" t="s">
        <v>1578</v>
      </c>
      <c r="D5" s="82" t="s">
        <v>2071</v>
      </c>
      <c r="E5" s="43">
        <v>14209</v>
      </c>
    </row>
    <row r="6" spans="1:5" s="56" customFormat="1" ht="16.5" customHeight="1" outlineLevel="2">
      <c r="A6" s="81"/>
      <c r="B6" s="83" t="s">
        <v>1566</v>
      </c>
      <c r="C6" s="83" t="s">
        <v>1579</v>
      </c>
      <c r="D6" s="83" t="s">
        <v>2071</v>
      </c>
      <c r="E6" s="43">
        <v>51736.58</v>
      </c>
    </row>
    <row r="7" spans="1:5" s="56" customFormat="1" ht="16.5" customHeight="1" outlineLevel="2">
      <c r="A7" s="81"/>
      <c r="B7" s="84" t="s">
        <v>1567</v>
      </c>
      <c r="C7" s="84" t="s">
        <v>1579</v>
      </c>
      <c r="D7" s="84" t="s">
        <v>2071</v>
      </c>
      <c r="E7" s="43">
        <v>54325.9</v>
      </c>
    </row>
    <row r="8" spans="1:5" s="56" customFormat="1" ht="16.5" customHeight="1" outlineLevel="1">
      <c r="A8" s="255" t="s">
        <v>1590</v>
      </c>
      <c r="B8" s="256"/>
      <c r="C8" s="256"/>
      <c r="D8" s="257"/>
      <c r="E8" s="195">
        <f>E9</f>
        <v>473</v>
      </c>
    </row>
    <row r="9" spans="1:5" s="56" customFormat="1" ht="16.5" customHeight="1" outlineLevel="2">
      <c r="A9" s="81"/>
      <c r="B9" s="85" t="s">
        <v>2084</v>
      </c>
      <c r="C9" s="85" t="s">
        <v>1586</v>
      </c>
      <c r="D9" s="85" t="s">
        <v>2085</v>
      </c>
      <c r="E9" s="43">
        <v>473</v>
      </c>
    </row>
    <row r="10" spans="1:5" s="56" customFormat="1" ht="16.5" customHeight="1" outlineLevel="1">
      <c r="A10" s="255" t="s">
        <v>1595</v>
      </c>
      <c r="B10" s="256"/>
      <c r="C10" s="256"/>
      <c r="D10" s="257"/>
      <c r="E10" s="195">
        <f>E13+E12+E11</f>
        <v>11242.322</v>
      </c>
    </row>
    <row r="11" spans="1:5" s="56" customFormat="1" ht="16.5" customHeight="1" outlineLevel="2">
      <c r="A11" s="81"/>
      <c r="B11" s="82" t="s">
        <v>2066</v>
      </c>
      <c r="C11" s="82" t="s">
        <v>1577</v>
      </c>
      <c r="D11" s="82" t="s">
        <v>2067</v>
      </c>
      <c r="E11" s="43">
        <v>7.752</v>
      </c>
    </row>
    <row r="12" spans="1:5" s="56" customFormat="1" ht="16.5" customHeight="1" outlineLevel="2">
      <c r="A12" s="81"/>
      <c r="B12" s="83" t="s">
        <v>1098</v>
      </c>
      <c r="C12" s="83" t="s">
        <v>1582</v>
      </c>
      <c r="D12" s="83" t="s">
        <v>1099</v>
      </c>
      <c r="E12" s="43">
        <v>9005.4</v>
      </c>
    </row>
    <row r="13" spans="1:5" s="56" customFormat="1" ht="16.5" customHeight="1" outlineLevel="2">
      <c r="A13" s="81"/>
      <c r="B13" s="84" t="s">
        <v>1053</v>
      </c>
      <c r="C13" s="84" t="s">
        <v>1582</v>
      </c>
      <c r="D13" s="84" t="s">
        <v>1054</v>
      </c>
      <c r="E13" s="43">
        <v>2229.17</v>
      </c>
    </row>
    <row r="14" spans="1:5" s="56" customFormat="1" ht="16.5" customHeight="1" outlineLevel="1">
      <c r="A14" s="255" t="s">
        <v>1597</v>
      </c>
      <c r="B14" s="256"/>
      <c r="C14" s="256"/>
      <c r="D14" s="257"/>
      <c r="E14" s="195">
        <f>E15+E16+E17</f>
        <v>107484.69</v>
      </c>
    </row>
    <row r="15" spans="1:5" s="56" customFormat="1" ht="16.5" customHeight="1" outlineLevel="2">
      <c r="A15" s="81"/>
      <c r="B15" s="82" t="s">
        <v>1102</v>
      </c>
      <c r="C15" s="82" t="s">
        <v>1582</v>
      </c>
      <c r="D15" s="82" t="s">
        <v>1103</v>
      </c>
      <c r="E15" s="43">
        <v>52094.49</v>
      </c>
    </row>
    <row r="16" spans="1:5" s="56" customFormat="1" ht="16.5" customHeight="1" outlineLevel="2">
      <c r="A16" s="81"/>
      <c r="B16" s="83" t="s">
        <v>1104</v>
      </c>
      <c r="C16" s="83" t="s">
        <v>1582</v>
      </c>
      <c r="D16" s="83" t="s">
        <v>1105</v>
      </c>
      <c r="E16" s="43">
        <v>51060.86</v>
      </c>
    </row>
    <row r="17" spans="1:5" s="56" customFormat="1" ht="16.5" customHeight="1" outlineLevel="2">
      <c r="A17" s="81"/>
      <c r="B17" s="84" t="s">
        <v>1106</v>
      </c>
      <c r="C17" s="84" t="s">
        <v>1582</v>
      </c>
      <c r="D17" s="84" t="s">
        <v>1107</v>
      </c>
      <c r="E17" s="43">
        <v>4329.34</v>
      </c>
    </row>
    <row r="18" spans="1:5" s="56" customFormat="1" ht="16.5" customHeight="1">
      <c r="A18" s="264" t="s">
        <v>1600</v>
      </c>
      <c r="B18" s="265"/>
      <c r="C18" s="265"/>
      <c r="D18" s="266"/>
      <c r="E18" s="45">
        <f>E19+E29+E36+E49+E54+E57+E65+E78+E79+E89+E92+E101+E105+E106</f>
        <v>312146.6659999999</v>
      </c>
    </row>
    <row r="19" spans="1:5" s="56" customFormat="1" ht="16.5" customHeight="1" outlineLevel="1">
      <c r="A19" s="255" t="s">
        <v>1576</v>
      </c>
      <c r="B19" s="256"/>
      <c r="C19" s="256"/>
      <c r="D19" s="257"/>
      <c r="E19" s="197">
        <f>SUM(E20:E28)</f>
        <v>9116.96</v>
      </c>
    </row>
    <row r="20" spans="1:5" s="56" customFormat="1" ht="16.5" customHeight="1" outlineLevel="2">
      <c r="A20" s="53"/>
      <c r="B20" s="82" t="s">
        <v>2225</v>
      </c>
      <c r="C20" s="82" t="s">
        <v>1577</v>
      </c>
      <c r="D20" s="82" t="s">
        <v>2122</v>
      </c>
      <c r="E20" s="43">
        <v>1849.2</v>
      </c>
    </row>
    <row r="21" spans="1:5" s="56" customFormat="1" ht="16.5" customHeight="1" outlineLevel="2">
      <c r="A21" s="53"/>
      <c r="B21" s="83" t="s">
        <v>885</v>
      </c>
      <c r="C21" s="83" t="s">
        <v>1578</v>
      </c>
      <c r="D21" s="83" t="s">
        <v>886</v>
      </c>
      <c r="E21" s="43">
        <v>84.41</v>
      </c>
    </row>
    <row r="22" spans="1:5" s="56" customFormat="1" ht="16.5" customHeight="1" outlineLevel="2">
      <c r="A22" s="53"/>
      <c r="B22" s="83" t="s">
        <v>878</v>
      </c>
      <c r="C22" s="83" t="s">
        <v>1579</v>
      </c>
      <c r="D22" s="83" t="s">
        <v>2306</v>
      </c>
      <c r="E22" s="43">
        <v>304</v>
      </c>
    </row>
    <row r="23" spans="1:5" s="56" customFormat="1" ht="16.5" customHeight="1" outlineLevel="2">
      <c r="A23" s="53"/>
      <c r="B23" s="83" t="s">
        <v>2</v>
      </c>
      <c r="C23" s="83" t="s">
        <v>1580</v>
      </c>
      <c r="D23" s="83" t="s">
        <v>2277</v>
      </c>
      <c r="E23" s="43">
        <v>59.95</v>
      </c>
    </row>
    <row r="24" spans="1:5" s="56" customFormat="1" ht="16.5" customHeight="1" outlineLevel="2">
      <c r="A24" s="53"/>
      <c r="B24" s="83" t="s">
        <v>1494</v>
      </c>
      <c r="C24" s="83" t="s">
        <v>1581</v>
      </c>
      <c r="D24" s="83" t="s">
        <v>2262</v>
      </c>
      <c r="E24" s="43">
        <v>505.37</v>
      </c>
    </row>
    <row r="25" spans="1:5" s="56" customFormat="1" ht="16.5" customHeight="1" outlineLevel="2">
      <c r="A25" s="53"/>
      <c r="B25" s="83" t="s">
        <v>1202</v>
      </c>
      <c r="C25" s="83" t="s">
        <v>1582</v>
      </c>
      <c r="D25" s="83" t="s">
        <v>1211</v>
      </c>
      <c r="E25" s="43">
        <v>4713.07</v>
      </c>
    </row>
    <row r="26" spans="1:5" s="56" customFormat="1" ht="16.5" customHeight="1" outlineLevel="2">
      <c r="A26" s="53"/>
      <c r="B26" s="83" t="s">
        <v>508</v>
      </c>
      <c r="C26" s="83" t="s">
        <v>1582</v>
      </c>
      <c r="D26" s="83" t="s">
        <v>509</v>
      </c>
      <c r="E26" s="43">
        <v>443.88</v>
      </c>
    </row>
    <row r="27" spans="1:5" s="56" customFormat="1" ht="16.5" customHeight="1" outlineLevel="2">
      <c r="A27" s="53"/>
      <c r="B27" s="83" t="s">
        <v>1228</v>
      </c>
      <c r="C27" s="83" t="s">
        <v>1583</v>
      </c>
      <c r="D27" s="83" t="s">
        <v>509</v>
      </c>
      <c r="E27" s="43">
        <v>1076.93</v>
      </c>
    </row>
    <row r="28" spans="1:5" s="56" customFormat="1" ht="16.5" customHeight="1" outlineLevel="2">
      <c r="A28" s="53"/>
      <c r="B28" s="83" t="s">
        <v>2</v>
      </c>
      <c r="C28" s="83" t="s">
        <v>1583</v>
      </c>
      <c r="D28" s="83" t="s">
        <v>855</v>
      </c>
      <c r="E28" s="43">
        <v>80.15</v>
      </c>
    </row>
    <row r="29" spans="1:5" s="56" customFormat="1" ht="16.5" customHeight="1" outlineLevel="1">
      <c r="A29" s="255" t="s">
        <v>1589</v>
      </c>
      <c r="B29" s="256"/>
      <c r="C29" s="256"/>
      <c r="D29" s="257"/>
      <c r="E29" s="195">
        <f>SUM(E30:E35)</f>
        <v>6941.26</v>
      </c>
    </row>
    <row r="30" spans="1:5" s="56" customFormat="1" ht="16.5" customHeight="1" outlineLevel="2">
      <c r="A30" s="53"/>
      <c r="B30" s="83" t="s">
        <v>2314</v>
      </c>
      <c r="C30" s="83" t="s">
        <v>1579</v>
      </c>
      <c r="D30" s="83" t="s">
        <v>2315</v>
      </c>
      <c r="E30" s="43">
        <v>1617.74</v>
      </c>
    </row>
    <row r="31" spans="1:5" s="56" customFormat="1" ht="16.5" customHeight="1" outlineLevel="2">
      <c r="A31" s="53"/>
      <c r="B31" s="83" t="s">
        <v>1673</v>
      </c>
      <c r="C31" s="83" t="s">
        <v>1583</v>
      </c>
      <c r="D31" s="83" t="s">
        <v>1214</v>
      </c>
      <c r="E31" s="43">
        <v>1229</v>
      </c>
    </row>
    <row r="32" spans="1:5" s="56" customFormat="1" ht="16.5" customHeight="1" outlineLevel="2">
      <c r="A32" s="53"/>
      <c r="B32" s="83" t="s">
        <v>163</v>
      </c>
      <c r="C32" s="83" t="s">
        <v>1583</v>
      </c>
      <c r="D32" s="83" t="s">
        <v>166</v>
      </c>
      <c r="E32" s="43">
        <v>261.52</v>
      </c>
    </row>
    <row r="33" spans="1:5" s="56" customFormat="1" ht="16.5" customHeight="1" outlineLevel="2">
      <c r="A33" s="53"/>
      <c r="B33" s="83" t="s">
        <v>1223</v>
      </c>
      <c r="C33" s="83" t="s">
        <v>1585</v>
      </c>
      <c r="D33" s="83" t="s">
        <v>1224</v>
      </c>
      <c r="E33" s="43">
        <v>222</v>
      </c>
    </row>
    <row r="34" spans="1:5" s="56" customFormat="1" ht="16.5" customHeight="1" outlineLevel="2">
      <c r="A34" s="53"/>
      <c r="B34" s="83" t="s">
        <v>2041</v>
      </c>
      <c r="C34" s="83" t="s">
        <v>1585</v>
      </c>
      <c r="D34" s="83" t="s">
        <v>1214</v>
      </c>
      <c r="E34" s="43">
        <v>2777</v>
      </c>
    </row>
    <row r="35" spans="1:5" s="56" customFormat="1" ht="16.5" customHeight="1" outlineLevel="2">
      <c r="A35" s="53"/>
      <c r="B35" s="83" t="s">
        <v>364</v>
      </c>
      <c r="C35" s="83" t="s">
        <v>1587</v>
      </c>
      <c r="D35" s="83" t="s">
        <v>1359</v>
      </c>
      <c r="E35" s="43">
        <v>834</v>
      </c>
    </row>
    <row r="36" spans="1:5" s="56" customFormat="1" ht="16.5" customHeight="1" outlineLevel="1">
      <c r="A36" s="255" t="s">
        <v>1590</v>
      </c>
      <c r="B36" s="256"/>
      <c r="C36" s="256"/>
      <c r="D36" s="257"/>
      <c r="E36" s="195">
        <f>SUM(E37:E48)</f>
        <v>33997.33</v>
      </c>
    </row>
    <row r="37" spans="1:5" s="56" customFormat="1" ht="16.5" customHeight="1" outlineLevel="2">
      <c r="A37" s="53"/>
      <c r="B37" s="87" t="s">
        <v>2</v>
      </c>
      <c r="C37" s="83" t="s">
        <v>1581</v>
      </c>
      <c r="D37" s="83" t="s">
        <v>937</v>
      </c>
      <c r="E37" s="43">
        <v>165.51</v>
      </c>
    </row>
    <row r="38" spans="1:5" s="56" customFormat="1" ht="16.5" customHeight="1" outlineLevel="2">
      <c r="A38" s="53"/>
      <c r="B38" s="87" t="s">
        <v>2</v>
      </c>
      <c r="C38" s="83" t="s">
        <v>1582</v>
      </c>
      <c r="D38" s="83" t="s">
        <v>760</v>
      </c>
      <c r="E38" s="43">
        <v>5292</v>
      </c>
    </row>
    <row r="39" spans="1:5" s="56" customFormat="1" ht="16.5" customHeight="1" outlineLevel="2">
      <c r="A39" s="53"/>
      <c r="B39" s="87" t="s">
        <v>1659</v>
      </c>
      <c r="C39" s="83" t="s">
        <v>1584</v>
      </c>
      <c r="D39" s="83" t="s">
        <v>1660</v>
      </c>
      <c r="E39" s="43">
        <v>20410</v>
      </c>
    </row>
    <row r="40" spans="1:5" s="56" customFormat="1" ht="16.5" customHeight="1" outlineLevel="2">
      <c r="A40" s="53"/>
      <c r="B40" s="87" t="s">
        <v>1668</v>
      </c>
      <c r="C40" s="83" t="s">
        <v>1584</v>
      </c>
      <c r="D40" s="83" t="s">
        <v>1670</v>
      </c>
      <c r="E40" s="43">
        <v>87.16</v>
      </c>
    </row>
    <row r="41" spans="1:5" s="56" customFormat="1" ht="16.5" customHeight="1" outlineLevel="2">
      <c r="A41" s="53"/>
      <c r="B41" s="87" t="s">
        <v>1225</v>
      </c>
      <c r="C41" s="83" t="s">
        <v>1585</v>
      </c>
      <c r="D41" s="83" t="s">
        <v>1229</v>
      </c>
      <c r="E41" s="43">
        <v>3909</v>
      </c>
    </row>
    <row r="42" spans="1:5" s="56" customFormat="1" ht="16.5" customHeight="1" outlineLevel="2">
      <c r="A42" s="53"/>
      <c r="B42" s="87" t="s">
        <v>2043</v>
      </c>
      <c r="C42" s="83" t="s">
        <v>1585</v>
      </c>
      <c r="D42" s="83" t="s">
        <v>2044</v>
      </c>
      <c r="E42" s="43">
        <v>1258</v>
      </c>
    </row>
    <row r="43" spans="1:5" s="56" customFormat="1" ht="16.5" customHeight="1" outlineLevel="2">
      <c r="A43" s="53"/>
      <c r="B43" s="87" t="s">
        <v>1223</v>
      </c>
      <c r="C43" s="83" t="s">
        <v>1585</v>
      </c>
      <c r="D43" s="83" t="s">
        <v>2046</v>
      </c>
      <c r="E43" s="43">
        <v>222</v>
      </c>
    </row>
    <row r="44" spans="1:5" s="56" customFormat="1" ht="16.5" customHeight="1" outlineLevel="2">
      <c r="A44" s="53"/>
      <c r="B44" s="87" t="s">
        <v>2005</v>
      </c>
      <c r="C44" s="83" t="s">
        <v>1586</v>
      </c>
      <c r="D44" s="83" t="s">
        <v>1230</v>
      </c>
      <c r="E44" s="43">
        <v>133.5</v>
      </c>
    </row>
    <row r="45" spans="1:5" s="56" customFormat="1" ht="16.5" customHeight="1" outlineLevel="2">
      <c r="A45" s="53"/>
      <c r="B45" s="87" t="s">
        <v>192</v>
      </c>
      <c r="C45" s="83" t="s">
        <v>1586</v>
      </c>
      <c r="D45" s="83" t="s">
        <v>783</v>
      </c>
      <c r="E45" s="43">
        <v>1470.66</v>
      </c>
    </row>
    <row r="46" spans="1:5" s="56" customFormat="1" ht="16.5" customHeight="1" outlineLevel="2">
      <c r="A46" s="53"/>
      <c r="B46" s="87" t="s">
        <v>2000</v>
      </c>
      <c r="C46" s="83" t="s">
        <v>1587</v>
      </c>
      <c r="D46" s="83" t="s">
        <v>2001</v>
      </c>
      <c r="E46" s="43">
        <v>492</v>
      </c>
    </row>
    <row r="47" spans="1:5" s="56" customFormat="1" ht="16.5" customHeight="1" outlineLevel="2">
      <c r="A47" s="53"/>
      <c r="B47" s="87" t="s">
        <v>2002</v>
      </c>
      <c r="C47" s="83" t="s">
        <v>1587</v>
      </c>
      <c r="D47" s="83" t="s">
        <v>1355</v>
      </c>
      <c r="E47" s="43">
        <v>424</v>
      </c>
    </row>
    <row r="48" spans="1:5" s="56" customFormat="1" ht="16.5" customHeight="1" outlineLevel="2">
      <c r="A48" s="53"/>
      <c r="B48" s="87" t="s">
        <v>1484</v>
      </c>
      <c r="C48" s="83" t="s">
        <v>1587</v>
      </c>
      <c r="D48" s="83" t="s">
        <v>1483</v>
      </c>
      <c r="E48" s="43">
        <v>133.5</v>
      </c>
    </row>
    <row r="49" spans="1:5" s="56" customFormat="1" ht="16.5" customHeight="1" outlineLevel="1">
      <c r="A49" s="255" t="s">
        <v>1591</v>
      </c>
      <c r="B49" s="256"/>
      <c r="C49" s="256"/>
      <c r="D49" s="257"/>
      <c r="E49" s="195">
        <f>SUM(E50:E53)</f>
        <v>6785.4</v>
      </c>
    </row>
    <row r="50" spans="1:5" s="56" customFormat="1" ht="16.5" customHeight="1" outlineLevel="2">
      <c r="A50" s="53"/>
      <c r="B50" s="88" t="s">
        <v>61</v>
      </c>
      <c r="C50" s="82" t="s">
        <v>1577</v>
      </c>
      <c r="D50" s="82" t="s">
        <v>2465</v>
      </c>
      <c r="E50" s="43">
        <v>614.2</v>
      </c>
    </row>
    <row r="51" spans="1:5" s="56" customFormat="1" ht="16.5" customHeight="1" outlineLevel="2">
      <c r="A51" s="53"/>
      <c r="B51" s="87" t="s">
        <v>3</v>
      </c>
      <c r="C51" s="83" t="s">
        <v>1577</v>
      </c>
      <c r="D51" s="83" t="s">
        <v>299</v>
      </c>
      <c r="E51" s="43">
        <v>3764.2</v>
      </c>
    </row>
    <row r="52" spans="1:5" s="56" customFormat="1" ht="16.5" customHeight="1" outlineLevel="2">
      <c r="A52" s="53"/>
      <c r="B52" s="87" t="s">
        <v>1215</v>
      </c>
      <c r="C52" s="83" t="s">
        <v>1583</v>
      </c>
      <c r="D52" s="83" t="s">
        <v>1216</v>
      </c>
      <c r="E52" s="43">
        <v>1573</v>
      </c>
    </row>
    <row r="53" spans="1:5" s="56" customFormat="1" ht="16.5" customHeight="1" outlineLevel="2">
      <c r="A53" s="53"/>
      <c r="B53" s="87" t="s">
        <v>364</v>
      </c>
      <c r="C53" s="83" t="s">
        <v>1587</v>
      </c>
      <c r="D53" s="83" t="s">
        <v>365</v>
      </c>
      <c r="E53" s="43">
        <v>834</v>
      </c>
    </row>
    <row r="54" spans="1:5" s="56" customFormat="1" ht="16.5" customHeight="1" outlineLevel="1">
      <c r="A54" s="255" t="s">
        <v>1594</v>
      </c>
      <c r="B54" s="256"/>
      <c r="C54" s="256"/>
      <c r="D54" s="257"/>
      <c r="E54" s="195">
        <f>SUM(E55:E56)</f>
        <v>1541.7</v>
      </c>
    </row>
    <row r="55" spans="1:5" s="56" customFormat="1" ht="16.5" customHeight="1" outlineLevel="2">
      <c r="A55" s="53"/>
      <c r="B55" s="87" t="s">
        <v>1039</v>
      </c>
      <c r="C55" s="83" t="s">
        <v>1582</v>
      </c>
      <c r="D55" s="83" t="s">
        <v>1041</v>
      </c>
      <c r="E55" s="43">
        <v>1166.7</v>
      </c>
    </row>
    <row r="56" spans="1:5" s="56" customFormat="1" ht="16.5" customHeight="1" outlineLevel="2">
      <c r="A56" s="53"/>
      <c r="B56" s="87" t="s">
        <v>1384</v>
      </c>
      <c r="C56" s="83" t="s">
        <v>1585</v>
      </c>
      <c r="D56" s="83" t="s">
        <v>2047</v>
      </c>
      <c r="E56" s="43">
        <v>375</v>
      </c>
    </row>
    <row r="57" spans="1:5" s="56" customFormat="1" ht="16.5" customHeight="1" outlineLevel="1">
      <c r="A57" s="255" t="s">
        <v>1599</v>
      </c>
      <c r="B57" s="256"/>
      <c r="C57" s="256"/>
      <c r="D57" s="257"/>
      <c r="E57" s="195">
        <f>SUM(E58:E64)</f>
        <v>18606.93</v>
      </c>
    </row>
    <row r="58" spans="1:5" s="56" customFormat="1" ht="16.5" customHeight="1" outlineLevel="2">
      <c r="A58" s="53"/>
      <c r="B58" s="83" t="s">
        <v>135</v>
      </c>
      <c r="C58" s="83" t="s">
        <v>1579</v>
      </c>
      <c r="D58" s="83" t="s">
        <v>2347</v>
      </c>
      <c r="E58" s="43">
        <v>1132.99</v>
      </c>
    </row>
    <row r="59" spans="1:5" s="56" customFormat="1" ht="16.5" customHeight="1" outlineLevel="2">
      <c r="A59" s="53"/>
      <c r="B59" s="83" t="s">
        <v>881</v>
      </c>
      <c r="C59" s="83" t="s">
        <v>1580</v>
      </c>
      <c r="D59" s="83" t="s">
        <v>2373</v>
      </c>
      <c r="E59" s="43">
        <v>124.3</v>
      </c>
    </row>
    <row r="60" spans="1:5" s="56" customFormat="1" ht="16.5" customHeight="1" outlineLevel="2">
      <c r="A60" s="53"/>
      <c r="B60" s="83" t="s">
        <v>1704</v>
      </c>
      <c r="C60" s="83" t="s">
        <v>1581</v>
      </c>
      <c r="D60" s="83" t="s">
        <v>2116</v>
      </c>
      <c r="E60" s="43">
        <v>3677.58</v>
      </c>
    </row>
    <row r="61" spans="1:5" s="56" customFormat="1" ht="16.5" customHeight="1" outlineLevel="2">
      <c r="A61" s="53"/>
      <c r="B61" s="83" t="s">
        <v>819</v>
      </c>
      <c r="C61" s="83" t="s">
        <v>1582</v>
      </c>
      <c r="D61" s="83" t="s">
        <v>820</v>
      </c>
      <c r="E61" s="43">
        <v>10611.13</v>
      </c>
    </row>
    <row r="62" spans="1:5" s="56" customFormat="1" ht="16.5" customHeight="1" outlineLevel="2">
      <c r="A62" s="53"/>
      <c r="B62" s="83" t="s">
        <v>1260</v>
      </c>
      <c r="C62" s="83" t="s">
        <v>1583</v>
      </c>
      <c r="D62" s="83" t="s">
        <v>952</v>
      </c>
      <c r="E62" s="43">
        <v>1035.62</v>
      </c>
    </row>
    <row r="63" spans="1:5" s="56" customFormat="1" ht="16.5" customHeight="1" outlineLevel="2">
      <c r="A63" s="53"/>
      <c r="B63" s="83" t="s">
        <v>2493</v>
      </c>
      <c r="C63" s="83" t="s">
        <v>1583</v>
      </c>
      <c r="D63" s="83" t="s">
        <v>2494</v>
      </c>
      <c r="E63" s="43">
        <v>531.31</v>
      </c>
    </row>
    <row r="64" spans="1:5" s="56" customFormat="1" ht="16.5" customHeight="1" outlineLevel="2">
      <c r="A64" s="53"/>
      <c r="B64" s="83" t="s">
        <v>85</v>
      </c>
      <c r="C64" s="83" t="s">
        <v>1586</v>
      </c>
      <c r="D64" s="83" t="s">
        <v>86</v>
      </c>
      <c r="E64" s="43">
        <v>1494</v>
      </c>
    </row>
    <row r="65" spans="1:5" s="56" customFormat="1" ht="16.5" customHeight="1" outlineLevel="1">
      <c r="A65" s="255" t="s">
        <v>1713</v>
      </c>
      <c r="B65" s="256"/>
      <c r="C65" s="256"/>
      <c r="D65" s="257"/>
      <c r="E65" s="195">
        <f>SUM(E66:E77)</f>
        <v>143467.806</v>
      </c>
    </row>
    <row r="66" spans="1:5" ht="16.5" customHeight="1" outlineLevel="2">
      <c r="A66" s="53"/>
      <c r="B66" s="82"/>
      <c r="C66" s="82" t="s">
        <v>1577</v>
      </c>
      <c r="D66" s="82" t="s">
        <v>1496</v>
      </c>
      <c r="E66" s="43">
        <v>12170.52</v>
      </c>
    </row>
    <row r="67" spans="1:5" ht="16.5" customHeight="1" outlineLevel="2">
      <c r="A67" s="53"/>
      <c r="B67" s="83"/>
      <c r="C67" s="83" t="s">
        <v>1578</v>
      </c>
      <c r="D67" s="83" t="s">
        <v>1496</v>
      </c>
      <c r="E67" s="43">
        <v>12170.52</v>
      </c>
    </row>
    <row r="68" spans="1:5" ht="16.5" customHeight="1" outlineLevel="2">
      <c r="A68" s="53"/>
      <c r="B68" s="83"/>
      <c r="C68" s="83" t="s">
        <v>1579</v>
      </c>
      <c r="D68" s="83" t="s">
        <v>1496</v>
      </c>
      <c r="E68" s="43">
        <v>12170.52</v>
      </c>
    </row>
    <row r="69" spans="1:5" ht="16.5" customHeight="1" outlineLevel="2">
      <c r="A69" s="53"/>
      <c r="B69" s="83"/>
      <c r="C69" s="83" t="s">
        <v>1580</v>
      </c>
      <c r="D69" s="83" t="s">
        <v>1496</v>
      </c>
      <c r="E69" s="43">
        <v>12170.52</v>
      </c>
    </row>
    <row r="70" spans="1:5" ht="16.5" customHeight="1" outlineLevel="2">
      <c r="A70" s="53"/>
      <c r="B70" s="83"/>
      <c r="C70" s="83" t="s">
        <v>1581</v>
      </c>
      <c r="D70" s="83" t="s">
        <v>1496</v>
      </c>
      <c r="E70" s="43">
        <v>11654.83</v>
      </c>
    </row>
    <row r="71" spans="1:5" ht="16.5" customHeight="1" outlineLevel="2">
      <c r="A71" s="53"/>
      <c r="B71" s="83"/>
      <c r="C71" s="83" t="s">
        <v>1582</v>
      </c>
      <c r="D71" s="83" t="s">
        <v>1496</v>
      </c>
      <c r="E71" s="43">
        <f>'[1]Июль'!$Z$12</f>
        <v>11654.833999999999</v>
      </c>
    </row>
    <row r="72" spans="1:5" ht="16.5" customHeight="1" outlineLevel="2">
      <c r="A72" s="53"/>
      <c r="B72" s="83"/>
      <c r="C72" s="83" t="s">
        <v>1583</v>
      </c>
      <c r="D72" s="83" t="s">
        <v>1496</v>
      </c>
      <c r="E72" s="43">
        <f>'[1]Июль'!$Z$12</f>
        <v>11654.833999999999</v>
      </c>
    </row>
    <row r="73" spans="1:5" ht="16.5" customHeight="1" outlineLevel="2">
      <c r="A73" s="53"/>
      <c r="B73" s="83"/>
      <c r="C73" s="83" t="s">
        <v>1584</v>
      </c>
      <c r="D73" s="83" t="s">
        <v>1496</v>
      </c>
      <c r="E73" s="43">
        <f>'[1]Август'!$Z$12</f>
        <v>11654.833999999999</v>
      </c>
    </row>
    <row r="74" spans="1:5" ht="16.5" customHeight="1" outlineLevel="2">
      <c r="A74" s="53"/>
      <c r="B74" s="83"/>
      <c r="C74" s="83" t="s">
        <v>1585</v>
      </c>
      <c r="D74" s="83" t="s">
        <v>1496</v>
      </c>
      <c r="E74" s="43">
        <f>'[1]Сентябрь'!$Z$12</f>
        <v>11654.833999999999</v>
      </c>
    </row>
    <row r="75" spans="1:5" ht="16.5" customHeight="1" outlineLevel="2">
      <c r="A75" s="53"/>
      <c r="B75" s="83"/>
      <c r="C75" s="83" t="s">
        <v>1586</v>
      </c>
      <c r="D75" s="83" t="s">
        <v>1496</v>
      </c>
      <c r="E75" s="43">
        <f>'[1]Октябрь'!$R$11</f>
        <v>12170.519999999999</v>
      </c>
    </row>
    <row r="76" spans="1:5" ht="16.5" customHeight="1" outlineLevel="2">
      <c r="A76" s="53"/>
      <c r="B76" s="83"/>
      <c r="C76" s="83" t="s">
        <v>1587</v>
      </c>
      <c r="D76" s="83" t="s">
        <v>1496</v>
      </c>
      <c r="E76" s="43">
        <f>'[1]Ноябрь'!$R$11</f>
        <v>12170.519999999999</v>
      </c>
    </row>
    <row r="77" spans="1:5" ht="16.5" customHeight="1" outlineLevel="2">
      <c r="A77" s="53"/>
      <c r="B77" s="89"/>
      <c r="C77" s="83" t="s">
        <v>1588</v>
      </c>
      <c r="D77" s="83" t="s">
        <v>1496</v>
      </c>
      <c r="E77" s="43">
        <f>'[1]Декабрь'!$R$11</f>
        <v>12170.519999999999</v>
      </c>
    </row>
    <row r="78" spans="1:5" s="56" customFormat="1" ht="16.5" customHeight="1" outlineLevel="1">
      <c r="A78" s="255" t="s">
        <v>1714</v>
      </c>
      <c r="B78" s="256"/>
      <c r="C78" s="256"/>
      <c r="D78" s="257"/>
      <c r="E78" s="195">
        <f>1.46*3438*12</f>
        <v>60233.759999999995</v>
      </c>
    </row>
    <row r="79" spans="1:5" s="56" customFormat="1" ht="16.5" customHeight="1" outlineLevel="1">
      <c r="A79" s="255" t="s">
        <v>1715</v>
      </c>
      <c r="B79" s="256"/>
      <c r="C79" s="256"/>
      <c r="D79" s="257"/>
      <c r="E79" s="195">
        <f>SUM(E80:E88)</f>
        <v>15782.73</v>
      </c>
    </row>
    <row r="80" spans="1:5" s="56" customFormat="1" ht="16.5" customHeight="1" outlineLevel="2">
      <c r="A80" s="53"/>
      <c r="B80" s="82" t="s">
        <v>870</v>
      </c>
      <c r="C80" s="82" t="s">
        <v>1577</v>
      </c>
      <c r="D80" s="82" t="s">
        <v>1500</v>
      </c>
      <c r="E80" s="43">
        <v>42.33</v>
      </c>
    </row>
    <row r="81" spans="1:5" s="56" customFormat="1" ht="16.5" customHeight="1" outlineLevel="2">
      <c r="A81" s="53"/>
      <c r="B81" s="83" t="s">
        <v>2</v>
      </c>
      <c r="C81" s="83" t="s">
        <v>1578</v>
      </c>
      <c r="D81" s="83" t="s">
        <v>195</v>
      </c>
      <c r="E81" s="43">
        <v>85.61</v>
      </c>
    </row>
    <row r="82" spans="1:5" s="56" customFormat="1" ht="16.5" customHeight="1" outlineLevel="2">
      <c r="A82" s="53"/>
      <c r="B82" s="83" t="s">
        <v>2132</v>
      </c>
      <c r="C82" s="83" t="s">
        <v>1579</v>
      </c>
      <c r="D82" s="83" t="s">
        <v>1500</v>
      </c>
      <c r="E82" s="43">
        <v>62.75</v>
      </c>
    </row>
    <row r="83" spans="1:5" s="56" customFormat="1" ht="16.5" customHeight="1" outlineLevel="2">
      <c r="A83" s="53"/>
      <c r="B83" s="83" t="s">
        <v>2177</v>
      </c>
      <c r="C83" s="83" t="s">
        <v>1579</v>
      </c>
      <c r="D83" s="83" t="s">
        <v>1364</v>
      </c>
      <c r="E83" s="43">
        <v>1816.2</v>
      </c>
    </row>
    <row r="84" spans="1:5" s="56" customFormat="1" ht="16.5" customHeight="1" outlineLevel="2">
      <c r="A84" s="53"/>
      <c r="B84" s="83" t="s">
        <v>139</v>
      </c>
      <c r="C84" s="83" t="s">
        <v>1580</v>
      </c>
      <c r="D84" s="83" t="s">
        <v>2233</v>
      </c>
      <c r="E84" s="43">
        <v>578.08</v>
      </c>
    </row>
    <row r="85" spans="1:5" s="56" customFormat="1" ht="16.5" customHeight="1" outlineLevel="2">
      <c r="A85" s="53"/>
      <c r="B85" s="83" t="s">
        <v>102</v>
      </c>
      <c r="C85" s="83" t="s">
        <v>1582</v>
      </c>
      <c r="D85" s="83" t="s">
        <v>110</v>
      </c>
      <c r="E85" s="43">
        <v>3805.36</v>
      </c>
    </row>
    <row r="86" spans="1:5" s="56" customFormat="1" ht="16.5" customHeight="1" outlineLevel="2">
      <c r="A86" s="53"/>
      <c r="B86" s="83" t="s">
        <v>1220</v>
      </c>
      <c r="C86" s="83" t="s">
        <v>1583</v>
      </c>
      <c r="D86" s="83" t="s">
        <v>110</v>
      </c>
      <c r="E86" s="43">
        <v>5096</v>
      </c>
    </row>
    <row r="87" spans="1:5" s="56" customFormat="1" ht="16.5" customHeight="1" outlineLevel="2">
      <c r="A87" s="53"/>
      <c r="B87" s="83" t="s">
        <v>2036</v>
      </c>
      <c r="C87" s="83" t="s">
        <v>1585</v>
      </c>
      <c r="D87" s="83" t="s">
        <v>1504</v>
      </c>
      <c r="E87" s="43">
        <v>4194</v>
      </c>
    </row>
    <row r="88" spans="1:5" s="56" customFormat="1" ht="16.5" customHeight="1" outlineLevel="2">
      <c r="A88" s="53"/>
      <c r="B88" s="83" t="s">
        <v>2090</v>
      </c>
      <c r="C88" s="83" t="s">
        <v>1586</v>
      </c>
      <c r="D88" s="83" t="s">
        <v>1672</v>
      </c>
      <c r="E88" s="43">
        <v>102.4</v>
      </c>
    </row>
    <row r="89" spans="1:5" s="56" customFormat="1" ht="16.5" customHeight="1" outlineLevel="1">
      <c r="A89" s="255" t="s">
        <v>1717</v>
      </c>
      <c r="B89" s="256"/>
      <c r="C89" s="256"/>
      <c r="D89" s="257"/>
      <c r="E89" s="195">
        <f>E90+E91</f>
        <v>417.48</v>
      </c>
    </row>
    <row r="90" spans="1:5" s="56" customFormat="1" ht="16.5" customHeight="1" outlineLevel="2">
      <c r="A90" s="53"/>
      <c r="B90" s="82" t="s">
        <v>1267</v>
      </c>
      <c r="C90" s="82" t="s">
        <v>1577</v>
      </c>
      <c r="D90" s="82" t="s">
        <v>1495</v>
      </c>
      <c r="E90" s="43">
        <v>212.16</v>
      </c>
    </row>
    <row r="91" spans="1:5" s="56" customFormat="1" ht="16.5" customHeight="1" outlineLevel="2">
      <c r="A91" s="53"/>
      <c r="B91" s="83" t="s">
        <v>2</v>
      </c>
      <c r="C91" s="83" t="s">
        <v>1581</v>
      </c>
      <c r="D91" s="83" t="s">
        <v>943</v>
      </c>
      <c r="E91" s="43">
        <v>205.32</v>
      </c>
    </row>
    <row r="92" spans="1:5" s="56" customFormat="1" ht="16.5" customHeight="1" outlineLevel="1">
      <c r="A92" s="255" t="s">
        <v>1595</v>
      </c>
      <c r="B92" s="256"/>
      <c r="C92" s="256"/>
      <c r="D92" s="257"/>
      <c r="E92" s="195">
        <f>SUM(E93:E100)</f>
        <v>5802.110000000001</v>
      </c>
    </row>
    <row r="93" spans="1:5" s="56" customFormat="1" ht="16.5" customHeight="1" outlineLevel="2">
      <c r="A93" s="53"/>
      <c r="B93" s="82" t="s">
        <v>5</v>
      </c>
      <c r="C93" s="82" t="s">
        <v>1577</v>
      </c>
      <c r="D93" s="82" t="s">
        <v>2191</v>
      </c>
      <c r="E93" s="43">
        <v>137.5</v>
      </c>
    </row>
    <row r="94" spans="1:5" s="56" customFormat="1" ht="16.5" customHeight="1" outlineLevel="2">
      <c r="A94" s="53"/>
      <c r="B94" s="83" t="s">
        <v>2236</v>
      </c>
      <c r="C94" s="83" t="s">
        <v>1579</v>
      </c>
      <c r="D94" s="83" t="s">
        <v>464</v>
      </c>
      <c r="E94" s="43">
        <v>354.12</v>
      </c>
    </row>
    <row r="95" spans="1:5" s="56" customFormat="1" ht="16.5" customHeight="1" outlineLevel="2">
      <c r="A95" s="53"/>
      <c r="B95" s="83" t="s">
        <v>133</v>
      </c>
      <c r="C95" s="83" t="s">
        <v>1579</v>
      </c>
      <c r="D95" s="83" t="s">
        <v>1990</v>
      </c>
      <c r="E95" s="43">
        <v>157.97</v>
      </c>
    </row>
    <row r="96" spans="1:5" s="56" customFormat="1" ht="16.5" customHeight="1" outlineLevel="2">
      <c r="A96" s="53"/>
      <c r="B96" s="83" t="s">
        <v>1244</v>
      </c>
      <c r="C96" s="83" t="s">
        <v>1580</v>
      </c>
      <c r="D96" s="83" t="s">
        <v>672</v>
      </c>
      <c r="E96" s="43">
        <v>640.98</v>
      </c>
    </row>
    <row r="97" spans="1:5" s="56" customFormat="1" ht="16.5" customHeight="1" outlineLevel="2">
      <c r="A97" s="53"/>
      <c r="B97" s="83" t="s">
        <v>1255</v>
      </c>
      <c r="C97" s="83" t="s">
        <v>1582</v>
      </c>
      <c r="D97" s="83" t="s">
        <v>1612</v>
      </c>
      <c r="E97" s="43">
        <v>286.79</v>
      </c>
    </row>
    <row r="98" spans="1:5" s="56" customFormat="1" ht="16.5" customHeight="1" outlineLevel="2">
      <c r="A98" s="53"/>
      <c r="B98" s="83" t="s">
        <v>1384</v>
      </c>
      <c r="C98" s="83" t="s">
        <v>1585</v>
      </c>
      <c r="D98" s="83" t="s">
        <v>1385</v>
      </c>
      <c r="E98" s="43">
        <v>375</v>
      </c>
    </row>
    <row r="99" spans="1:5" s="56" customFormat="1" ht="16.5" customHeight="1" outlineLevel="2">
      <c r="A99" s="53"/>
      <c r="B99" s="83" t="s">
        <v>362</v>
      </c>
      <c r="C99" s="83" t="s">
        <v>1587</v>
      </c>
      <c r="D99" s="83" t="s">
        <v>363</v>
      </c>
      <c r="E99" s="43">
        <f>10279/4</f>
        <v>2569.75</v>
      </c>
    </row>
    <row r="100" spans="1:5" s="56" customFormat="1" ht="16.5" customHeight="1" outlineLevel="2">
      <c r="A100" s="53"/>
      <c r="B100" s="83" t="s">
        <v>974</v>
      </c>
      <c r="C100" s="83" t="s">
        <v>1588</v>
      </c>
      <c r="D100" s="83" t="s">
        <v>2324</v>
      </c>
      <c r="E100" s="43">
        <v>1280</v>
      </c>
    </row>
    <row r="101" spans="1:5" s="56" customFormat="1" ht="16.5" customHeight="1" outlineLevel="1">
      <c r="A101" s="255" t="s">
        <v>1718</v>
      </c>
      <c r="B101" s="256"/>
      <c r="C101" s="256"/>
      <c r="D101" s="257"/>
      <c r="E101" s="195">
        <f>E102+E103+E104</f>
        <v>2160.94</v>
      </c>
    </row>
    <row r="102" spans="1:5" s="56" customFormat="1" ht="16.5" customHeight="1" outlineLevel="2">
      <c r="A102" s="53"/>
      <c r="B102" s="82" t="s">
        <v>1227</v>
      </c>
      <c r="C102" s="82" t="s">
        <v>1577</v>
      </c>
      <c r="D102" s="82" t="s">
        <v>1535</v>
      </c>
      <c r="E102" s="43">
        <v>299.54</v>
      </c>
    </row>
    <row r="103" spans="1:5" s="56" customFormat="1" ht="16.5" customHeight="1" outlineLevel="2">
      <c r="A103" s="53"/>
      <c r="B103" s="83" t="s">
        <v>2</v>
      </c>
      <c r="C103" s="83" t="s">
        <v>1581</v>
      </c>
      <c r="D103" s="83" t="s">
        <v>2390</v>
      </c>
      <c r="E103" s="43">
        <v>1727</v>
      </c>
    </row>
    <row r="104" spans="1:5" s="56" customFormat="1" ht="16.5" customHeight="1" outlineLevel="2">
      <c r="A104" s="53"/>
      <c r="B104" s="84" t="s">
        <v>2</v>
      </c>
      <c r="C104" s="84" t="s">
        <v>57</v>
      </c>
      <c r="D104" s="84" t="s">
        <v>936</v>
      </c>
      <c r="E104" s="43">
        <v>134.4</v>
      </c>
    </row>
    <row r="105" spans="1:5" s="56" customFormat="1" ht="16.5" customHeight="1" outlineLevel="2">
      <c r="A105" s="255" t="s">
        <v>0</v>
      </c>
      <c r="B105" s="256"/>
      <c r="C105" s="256"/>
      <c r="D105" s="257"/>
      <c r="E105" s="195">
        <f>0.1*3438*12</f>
        <v>4125.6</v>
      </c>
    </row>
    <row r="106" spans="1:5" s="56" customFormat="1" ht="16.5" customHeight="1" outlineLevel="2">
      <c r="A106" s="255" t="s">
        <v>1369</v>
      </c>
      <c r="B106" s="256"/>
      <c r="C106" s="256"/>
      <c r="D106" s="257"/>
      <c r="E106" s="195">
        <v>3166.66</v>
      </c>
    </row>
    <row r="107" spans="1:5" s="56" customFormat="1" ht="16.5" customHeight="1">
      <c r="A107" s="42"/>
      <c r="B107" s="273" t="s">
        <v>59</v>
      </c>
      <c r="C107" s="273"/>
      <c r="D107" s="273"/>
      <c r="E107" s="43">
        <f>1.57*3438*12</f>
        <v>64771.92</v>
      </c>
    </row>
    <row r="108" spans="1:5" s="56" customFormat="1" ht="16.5" customHeight="1">
      <c r="A108" s="42"/>
      <c r="B108" s="270" t="s">
        <v>256</v>
      </c>
      <c r="C108" s="270"/>
      <c r="D108" s="270"/>
      <c r="E108" s="43">
        <f>(E110+E111)*10.3/100</f>
        <v>91149.17844</v>
      </c>
    </row>
    <row r="109" spans="1:5" s="56" customFormat="1" ht="16.5" customHeight="1">
      <c r="A109" s="42">
        <v>1</v>
      </c>
      <c r="B109" s="272" t="s">
        <v>659</v>
      </c>
      <c r="C109" s="272"/>
      <c r="D109" s="272"/>
      <c r="E109" s="44">
        <f>E108+E107+E18+E3</f>
        <v>707539.2564399999</v>
      </c>
    </row>
    <row r="110" spans="1:5" s="56" customFormat="1" ht="16.5" customHeight="1">
      <c r="A110" s="42">
        <v>2</v>
      </c>
      <c r="B110" s="270" t="s">
        <v>258</v>
      </c>
      <c r="C110" s="270"/>
      <c r="D110" s="270"/>
      <c r="E110" s="43">
        <v>777677.88</v>
      </c>
    </row>
    <row r="111" spans="1:5" s="56" customFormat="1" ht="16.5" customHeight="1">
      <c r="A111" s="42">
        <v>3</v>
      </c>
      <c r="B111" s="270" t="s">
        <v>259</v>
      </c>
      <c r="C111" s="270"/>
      <c r="D111" s="270"/>
      <c r="E111" s="43">
        <v>107265.6</v>
      </c>
    </row>
    <row r="112" spans="1:5" s="56" customFormat="1" ht="16.5" customHeight="1">
      <c r="A112" s="42">
        <v>4</v>
      </c>
      <c r="B112" s="270" t="s">
        <v>660</v>
      </c>
      <c r="C112" s="270"/>
      <c r="D112" s="270"/>
      <c r="E112" s="43">
        <v>2413238.57</v>
      </c>
    </row>
    <row r="113" spans="1:5" s="56" customFormat="1" ht="16.5" customHeight="1">
      <c r="A113" s="42">
        <v>5</v>
      </c>
      <c r="B113" s="270" t="s">
        <v>2340</v>
      </c>
      <c r="C113" s="270"/>
      <c r="D113" s="270"/>
      <c r="E113" s="43">
        <v>2111662.29</v>
      </c>
    </row>
    <row r="114" spans="1:5" s="56" customFormat="1" ht="16.5" customHeight="1">
      <c r="A114" s="42">
        <v>6</v>
      </c>
      <c r="B114" s="272" t="s">
        <v>2341</v>
      </c>
      <c r="C114" s="272"/>
      <c r="D114" s="272"/>
      <c r="E114" s="44">
        <f>'[2]Комсомольский 1'!$E$97+E109</f>
        <v>1907992.34644</v>
      </c>
    </row>
    <row r="115" spans="1:5" s="56" customFormat="1" ht="16.5" customHeight="1">
      <c r="A115" s="42">
        <v>7</v>
      </c>
      <c r="B115" s="270" t="s">
        <v>732</v>
      </c>
      <c r="C115" s="270"/>
      <c r="D115" s="270"/>
      <c r="E115" s="43">
        <v>335454.5</v>
      </c>
    </row>
    <row r="116" spans="1:5" s="56" customFormat="1" ht="16.5" customHeight="1">
      <c r="A116" s="42">
        <v>8</v>
      </c>
      <c r="B116" s="270" t="s">
        <v>733</v>
      </c>
      <c r="C116" s="270"/>
      <c r="D116" s="270"/>
      <c r="E116" s="43">
        <v>293476</v>
      </c>
    </row>
    <row r="117" spans="1:5" s="56" customFormat="1" ht="16.5" customHeight="1">
      <c r="A117" s="42">
        <v>9</v>
      </c>
      <c r="B117" s="272" t="s">
        <v>734</v>
      </c>
      <c r="C117" s="272"/>
      <c r="D117" s="272"/>
      <c r="E117" s="44">
        <v>0</v>
      </c>
    </row>
    <row r="118" spans="1:5" s="56" customFormat="1" ht="16.5" customHeight="1">
      <c r="A118" s="42">
        <v>10</v>
      </c>
      <c r="B118" s="270" t="s">
        <v>260</v>
      </c>
      <c r="C118" s="270"/>
      <c r="D118" s="270"/>
      <c r="E118" s="43">
        <v>107265.6</v>
      </c>
    </row>
    <row r="119" spans="1:5" s="56" customFormat="1" ht="16.5" customHeight="1">
      <c r="A119" s="42">
        <v>11</v>
      </c>
      <c r="B119" s="270" t="s">
        <v>735</v>
      </c>
      <c r="C119" s="270"/>
      <c r="D119" s="270"/>
      <c r="E119" s="43">
        <v>98870.39</v>
      </c>
    </row>
    <row r="120" spans="1:5" s="56" customFormat="1" ht="16.5" customHeight="1">
      <c r="A120" s="42">
        <v>12</v>
      </c>
      <c r="B120" s="272" t="s">
        <v>736</v>
      </c>
      <c r="C120" s="272"/>
      <c r="D120" s="272"/>
      <c r="E120" s="44">
        <v>0</v>
      </c>
    </row>
    <row r="121" spans="1:5" s="56" customFormat="1" ht="17.25" customHeight="1">
      <c r="A121" s="42">
        <v>13</v>
      </c>
      <c r="B121" s="271" t="s">
        <v>737</v>
      </c>
      <c r="C121" s="271"/>
      <c r="D121" s="271"/>
      <c r="E121" s="45">
        <f>E112-E114</f>
        <v>505246.22355999984</v>
      </c>
    </row>
    <row r="122" spans="1:5" s="56" customFormat="1" ht="19.5" customHeight="1">
      <c r="A122" s="42">
        <v>14</v>
      </c>
      <c r="B122" s="271" t="s">
        <v>738</v>
      </c>
      <c r="C122" s="271"/>
      <c r="D122" s="271"/>
      <c r="E122" s="45">
        <f>E115-E117</f>
        <v>335454.5</v>
      </c>
    </row>
    <row r="123" spans="1:5" s="56" customFormat="1" ht="30" customHeight="1">
      <c r="A123" s="42">
        <v>15</v>
      </c>
      <c r="B123" s="267" t="s">
        <v>739</v>
      </c>
      <c r="C123" s="268"/>
      <c r="D123" s="269"/>
      <c r="E123" s="45">
        <f>E113-E114</f>
        <v>203669.94356000004</v>
      </c>
    </row>
  </sheetData>
  <sheetProtection/>
  <mergeCells count="38">
    <mergeCell ref="B107:D107"/>
    <mergeCell ref="B108:D108"/>
    <mergeCell ref="A14:D14"/>
    <mergeCell ref="A36:D36"/>
    <mergeCell ref="A49:D49"/>
    <mergeCell ref="A65:D65"/>
    <mergeCell ref="A78:D78"/>
    <mergeCell ref="A106:D106"/>
    <mergeCell ref="A79:D79"/>
    <mergeCell ref="A89:D89"/>
    <mergeCell ref="B110:D110"/>
    <mergeCell ref="B111:D111"/>
    <mergeCell ref="B112:D112"/>
    <mergeCell ref="B120:D120"/>
    <mergeCell ref="B122:D122"/>
    <mergeCell ref="B117:D117"/>
    <mergeCell ref="B113:D113"/>
    <mergeCell ref="B114:D114"/>
    <mergeCell ref="A92:D92"/>
    <mergeCell ref="A101:D101"/>
    <mergeCell ref="A18:D18"/>
    <mergeCell ref="B123:D123"/>
    <mergeCell ref="B116:D116"/>
    <mergeCell ref="B119:D119"/>
    <mergeCell ref="B115:D115"/>
    <mergeCell ref="B121:D121"/>
    <mergeCell ref="B118:D118"/>
    <mergeCell ref="B109:D109"/>
    <mergeCell ref="A105:D105"/>
    <mergeCell ref="A1:E1"/>
    <mergeCell ref="A54:D54"/>
    <mergeCell ref="A57:D57"/>
    <mergeCell ref="A4:D4"/>
    <mergeCell ref="A8:D8"/>
    <mergeCell ref="A10:D10"/>
    <mergeCell ref="A3:D3"/>
    <mergeCell ref="A19:D19"/>
    <mergeCell ref="A29:D29"/>
  </mergeCells>
  <printOptions/>
  <pageMargins left="0.17" right="0.17" top="0.17" bottom="0.17" header="0.17" footer="0.18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53"/>
  <sheetViews>
    <sheetView zoomScalePageLayoutView="0" workbookViewId="0" topLeftCell="A1">
      <pane ySplit="2" topLeftCell="A135" activePane="bottomLeft" state="frozen"/>
      <selection pane="topLeft" activeCell="A1" sqref="A1"/>
      <selection pane="bottomLeft" activeCell="C29" sqref="C29"/>
    </sheetView>
  </sheetViews>
  <sheetFormatPr defaultColWidth="13.421875" defaultRowHeight="12.75" outlineLevelRow="2"/>
  <cols>
    <col min="1" max="1" width="11.8515625" style="42" customWidth="1"/>
    <col min="2" max="2" width="10.28125" style="42" customWidth="1"/>
    <col min="3" max="3" width="88.00390625" style="42" customWidth="1"/>
    <col min="4" max="4" width="14.8515625" style="42" customWidth="1"/>
    <col min="5" max="6" width="11.421875" style="42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6" ht="15" customHeight="1" thickBot="1">
      <c r="A1" s="259" t="s">
        <v>1868</v>
      </c>
      <c r="B1" s="259"/>
      <c r="C1" s="259"/>
      <c r="D1" s="179"/>
      <c r="E1" s="180"/>
      <c r="F1" s="1"/>
    </row>
    <row r="2" spans="1:5" ht="30">
      <c r="A2" s="101" t="s">
        <v>1570</v>
      </c>
      <c r="B2" s="102" t="s">
        <v>1571</v>
      </c>
      <c r="C2" s="103" t="s">
        <v>1572</v>
      </c>
      <c r="D2" s="104" t="s">
        <v>1573</v>
      </c>
      <c r="E2" s="143" t="s">
        <v>1574</v>
      </c>
    </row>
    <row r="3" spans="1:4" ht="15">
      <c r="A3" s="309"/>
      <c r="B3" s="309"/>
      <c r="C3" s="142" t="s">
        <v>1575</v>
      </c>
      <c r="D3" s="130">
        <f>D4+D6</f>
        <v>6250</v>
      </c>
    </row>
    <row r="4" spans="1:4" ht="14.25" customHeight="1" outlineLevel="1">
      <c r="A4" s="256"/>
      <c r="B4" s="256"/>
      <c r="C4" s="257"/>
      <c r="D4" s="105">
        <f>SUM(D5:D5)</f>
        <v>5050</v>
      </c>
    </row>
    <row r="5" spans="1:5" ht="15" outlineLevel="2">
      <c r="A5" s="84" t="s">
        <v>1914</v>
      </c>
      <c r="B5" s="84" t="s">
        <v>1585</v>
      </c>
      <c r="C5" s="84" t="s">
        <v>1915</v>
      </c>
      <c r="D5" s="106">
        <v>5050</v>
      </c>
      <c r="E5" s="144"/>
    </row>
    <row r="6" spans="1:4" ht="15" customHeight="1" outlineLevel="1">
      <c r="A6" s="256"/>
      <c r="B6" s="256"/>
      <c r="C6" s="257"/>
      <c r="D6" s="105">
        <f>SUM(D7:D7)</f>
        <v>1200</v>
      </c>
    </row>
    <row r="7" spans="1:5" ht="15" outlineLevel="2">
      <c r="A7" s="303" t="s">
        <v>282</v>
      </c>
      <c r="B7" s="304"/>
      <c r="C7" s="305"/>
      <c r="D7" s="106">
        <v>1200</v>
      </c>
      <c r="E7" s="144"/>
    </row>
    <row r="8" spans="1:4" ht="13.5" customHeight="1">
      <c r="A8" s="309"/>
      <c r="B8" s="309"/>
      <c r="C8" s="142" t="s">
        <v>1600</v>
      </c>
      <c r="D8" s="130">
        <f>D9+D18+D28+D42+D56+D63+D70+D83+D84+D101+D106+D117+D129+D130</f>
        <v>512595.51599999995</v>
      </c>
    </row>
    <row r="9" spans="1:4" ht="14.25" customHeight="1" outlineLevel="1">
      <c r="A9" s="256" t="s">
        <v>1576</v>
      </c>
      <c r="B9" s="256"/>
      <c r="C9" s="257"/>
      <c r="D9" s="105">
        <f>D10+D11+D12+D13+D14+D15+D16+D17</f>
        <v>19050.07</v>
      </c>
    </row>
    <row r="10" spans="1:5" ht="15" outlineLevel="2">
      <c r="A10" s="82" t="s">
        <v>2052</v>
      </c>
      <c r="B10" s="82" t="s">
        <v>1577</v>
      </c>
      <c r="C10" s="82" t="s">
        <v>810</v>
      </c>
      <c r="D10" s="106">
        <v>226.3</v>
      </c>
      <c r="E10" s="144"/>
    </row>
    <row r="11" spans="1:5" ht="20.25" customHeight="1" outlineLevel="2">
      <c r="A11" s="83" t="s">
        <v>812</v>
      </c>
      <c r="B11" s="83" t="s">
        <v>1577</v>
      </c>
      <c r="C11" s="83" t="s">
        <v>1059</v>
      </c>
      <c r="D11" s="106">
        <v>1334</v>
      </c>
      <c r="E11" s="144"/>
    </row>
    <row r="12" spans="1:5" ht="15" outlineLevel="2">
      <c r="A12" s="83" t="s">
        <v>16</v>
      </c>
      <c r="B12" s="83" t="s">
        <v>1579</v>
      </c>
      <c r="C12" s="83" t="s">
        <v>231</v>
      </c>
      <c r="D12" s="106">
        <v>1044.41</v>
      </c>
      <c r="E12" s="144"/>
    </row>
    <row r="13" spans="1:5" ht="15" outlineLevel="2">
      <c r="A13" s="83" t="s">
        <v>2</v>
      </c>
      <c r="B13" s="83" t="s">
        <v>1580</v>
      </c>
      <c r="C13" s="83" t="s">
        <v>2277</v>
      </c>
      <c r="D13" s="106">
        <v>59.95</v>
      </c>
      <c r="E13" s="144"/>
    </row>
    <row r="14" spans="1:5" ht="15" outlineLevel="2">
      <c r="A14" s="83"/>
      <c r="B14" s="83" t="s">
        <v>1582</v>
      </c>
      <c r="C14" s="83" t="s">
        <v>509</v>
      </c>
      <c r="D14" s="106">
        <v>447.61</v>
      </c>
      <c r="E14" s="144"/>
    </row>
    <row r="15" spans="1:5" ht="15" outlineLevel="2">
      <c r="A15" s="83" t="s">
        <v>1033</v>
      </c>
      <c r="B15" s="83" t="s">
        <v>1583</v>
      </c>
      <c r="C15" s="83" t="s">
        <v>509</v>
      </c>
      <c r="D15" s="106">
        <v>1076.93</v>
      </c>
      <c r="E15" s="144"/>
    </row>
    <row r="16" spans="1:5" ht="15" outlineLevel="2">
      <c r="A16" s="83" t="s">
        <v>2</v>
      </c>
      <c r="B16" s="83" t="s">
        <v>1583</v>
      </c>
      <c r="C16" s="83" t="s">
        <v>855</v>
      </c>
      <c r="D16" s="106">
        <v>80.15</v>
      </c>
      <c r="E16" s="144"/>
    </row>
    <row r="17" spans="1:5" ht="13.5" customHeight="1" outlineLevel="2">
      <c r="A17" s="83" t="s">
        <v>33</v>
      </c>
      <c r="B17" s="83" t="s">
        <v>1584</v>
      </c>
      <c r="C17" s="83" t="s">
        <v>701</v>
      </c>
      <c r="D17" s="106">
        <v>14780.72</v>
      </c>
      <c r="E17" s="144"/>
    </row>
    <row r="18" spans="1:4" ht="14.25" customHeight="1" outlineLevel="1">
      <c r="A18" s="256" t="s">
        <v>1589</v>
      </c>
      <c r="B18" s="256"/>
      <c r="C18" s="257"/>
      <c r="D18" s="105">
        <f>D19+D20+D21+D22+D23+D24+D25+D26+D27</f>
        <v>23824.97</v>
      </c>
    </row>
    <row r="19" spans="1:5" ht="15" outlineLevel="2">
      <c r="A19" s="82" t="s">
        <v>869</v>
      </c>
      <c r="B19" s="82" t="s">
        <v>1577</v>
      </c>
      <c r="C19" s="82" t="s">
        <v>2050</v>
      </c>
      <c r="D19" s="106">
        <v>708.2</v>
      </c>
      <c r="E19" s="144"/>
    </row>
    <row r="20" spans="1:5" ht="15" outlineLevel="2">
      <c r="A20" s="83" t="s">
        <v>14</v>
      </c>
      <c r="B20" s="83" t="s">
        <v>1579</v>
      </c>
      <c r="C20" s="83" t="s">
        <v>1063</v>
      </c>
      <c r="D20" s="106">
        <v>939.3</v>
      </c>
      <c r="E20" s="144"/>
    </row>
    <row r="21" spans="1:5" ht="15" outlineLevel="2">
      <c r="A21" s="83" t="s">
        <v>16</v>
      </c>
      <c r="B21" s="83" t="s">
        <v>1579</v>
      </c>
      <c r="C21" s="83" t="s">
        <v>1240</v>
      </c>
      <c r="D21" s="106">
        <v>1006.86</v>
      </c>
      <c r="E21" s="144"/>
    </row>
    <row r="22" spans="1:5" ht="15" outlineLevel="2">
      <c r="A22" s="83" t="s">
        <v>1249</v>
      </c>
      <c r="B22" s="83" t="s">
        <v>1581</v>
      </c>
      <c r="C22" s="83" t="s">
        <v>1250</v>
      </c>
      <c r="D22" s="106">
        <v>6344.9</v>
      </c>
      <c r="E22" s="144"/>
    </row>
    <row r="23" spans="1:5" ht="15" outlineLevel="2">
      <c r="A23" s="83" t="s">
        <v>1705</v>
      </c>
      <c r="B23" s="83" t="s">
        <v>1581</v>
      </c>
      <c r="C23" s="83" t="s">
        <v>284</v>
      </c>
      <c r="D23" s="106">
        <v>2419.35</v>
      </c>
      <c r="E23" s="144"/>
    </row>
    <row r="24" spans="1:5" ht="15" outlineLevel="2">
      <c r="A24" s="83" t="s">
        <v>875</v>
      </c>
      <c r="B24" s="83" t="s">
        <v>1582</v>
      </c>
      <c r="C24" s="83" t="s">
        <v>1063</v>
      </c>
      <c r="D24" s="106">
        <v>1892.96</v>
      </c>
      <c r="E24" s="144"/>
    </row>
    <row r="25" spans="1:5" ht="15" outlineLevel="2">
      <c r="A25" s="83" t="s">
        <v>26</v>
      </c>
      <c r="B25" s="83" t="s">
        <v>1583</v>
      </c>
      <c r="C25" s="83" t="s">
        <v>1259</v>
      </c>
      <c r="D25" s="106">
        <v>33.24</v>
      </c>
      <c r="E25" s="144"/>
    </row>
    <row r="26" spans="1:5" ht="15" outlineLevel="2">
      <c r="A26" s="83" t="s">
        <v>1256</v>
      </c>
      <c r="B26" s="83" t="s">
        <v>1583</v>
      </c>
      <c r="C26" s="83" t="s">
        <v>1321</v>
      </c>
      <c r="D26" s="106">
        <v>3519.16</v>
      </c>
      <c r="E26" s="144"/>
    </row>
    <row r="27" spans="1:5" ht="14.25" customHeight="1" outlineLevel="2">
      <c r="A27" s="83" t="s">
        <v>1262</v>
      </c>
      <c r="B27" s="83" t="s">
        <v>1585</v>
      </c>
      <c r="C27" s="83" t="s">
        <v>2366</v>
      </c>
      <c r="D27" s="106">
        <v>6961</v>
      </c>
      <c r="E27" s="144"/>
    </row>
    <row r="28" spans="1:4" ht="15" customHeight="1" outlineLevel="1">
      <c r="A28" s="256" t="s">
        <v>1590</v>
      </c>
      <c r="B28" s="256"/>
      <c r="C28" s="257"/>
      <c r="D28" s="105">
        <f>D29+D30+D31+D32+D33+D34+D35+D36+D37+D38+D39+D40+D41</f>
        <v>49966.89</v>
      </c>
    </row>
    <row r="29" spans="1:5" ht="15" outlineLevel="2">
      <c r="A29" s="88" t="s">
        <v>2</v>
      </c>
      <c r="B29" s="82" t="s">
        <v>1577</v>
      </c>
      <c r="C29" s="82" t="s">
        <v>1507</v>
      </c>
      <c r="D29" s="106">
        <v>56.7</v>
      </c>
      <c r="E29" s="144"/>
    </row>
    <row r="30" spans="1:5" ht="15" outlineLevel="2">
      <c r="A30" s="87" t="s">
        <v>1065</v>
      </c>
      <c r="B30" s="83" t="s">
        <v>1579</v>
      </c>
      <c r="C30" s="83" t="s">
        <v>2167</v>
      </c>
      <c r="D30" s="106">
        <v>11456.39</v>
      </c>
      <c r="E30" s="144"/>
    </row>
    <row r="31" spans="1:5" ht="15" outlineLevel="2">
      <c r="A31" s="87" t="s">
        <v>2181</v>
      </c>
      <c r="B31" s="83" t="s">
        <v>1579</v>
      </c>
      <c r="C31" s="83" t="s">
        <v>124</v>
      </c>
      <c r="D31" s="106">
        <v>170.02</v>
      </c>
      <c r="E31" s="144"/>
    </row>
    <row r="32" spans="1:5" ht="15" outlineLevel="2">
      <c r="A32" s="87" t="s">
        <v>1702</v>
      </c>
      <c r="B32" s="83" t="s">
        <v>1580</v>
      </c>
      <c r="C32" s="83" t="s">
        <v>1706</v>
      </c>
      <c r="D32" s="106">
        <v>80.4</v>
      </c>
      <c r="E32" s="144"/>
    </row>
    <row r="33" spans="1:5" ht="15" outlineLevel="2">
      <c r="A33" s="87" t="s">
        <v>1489</v>
      </c>
      <c r="B33" s="83" t="s">
        <v>1580</v>
      </c>
      <c r="C33" s="83" t="s">
        <v>1246</v>
      </c>
      <c r="D33" s="106">
        <v>14588.41</v>
      </c>
      <c r="E33" s="144"/>
    </row>
    <row r="34" spans="1:5" ht="15" outlineLevel="2">
      <c r="A34" s="87" t="s">
        <v>137</v>
      </c>
      <c r="B34" s="83" t="s">
        <v>1580</v>
      </c>
      <c r="C34" s="83" t="s">
        <v>1120</v>
      </c>
      <c r="D34" s="106">
        <v>169.07</v>
      </c>
      <c r="E34" s="144"/>
    </row>
    <row r="35" spans="1:5" ht="15" outlineLevel="2">
      <c r="A35" s="87" t="s">
        <v>182</v>
      </c>
      <c r="B35" s="83" t="s">
        <v>1580</v>
      </c>
      <c r="C35" s="83" t="s">
        <v>1120</v>
      </c>
      <c r="D35" s="106">
        <v>168.61</v>
      </c>
      <c r="E35" s="144"/>
    </row>
    <row r="36" spans="1:5" ht="15" outlineLevel="2">
      <c r="A36" s="87" t="s">
        <v>1249</v>
      </c>
      <c r="B36" s="83" t="s">
        <v>1581</v>
      </c>
      <c r="C36" s="83" t="s">
        <v>217</v>
      </c>
      <c r="D36" s="106">
        <v>6687.14</v>
      </c>
      <c r="E36" s="144"/>
    </row>
    <row r="37" spans="1:5" ht="15" outlineLevel="2">
      <c r="A37" s="87" t="s">
        <v>1267</v>
      </c>
      <c r="B37" s="83" t="s">
        <v>1584</v>
      </c>
      <c r="C37" s="83" t="s">
        <v>1002</v>
      </c>
      <c r="D37" s="106">
        <v>5292</v>
      </c>
      <c r="E37" s="144"/>
    </row>
    <row r="38" spans="1:5" ht="17.25" customHeight="1" outlineLevel="2">
      <c r="A38" s="87" t="s">
        <v>2</v>
      </c>
      <c r="B38" s="83" t="s">
        <v>1584</v>
      </c>
      <c r="C38" s="83" t="s">
        <v>760</v>
      </c>
      <c r="D38" s="106">
        <v>5627.7</v>
      </c>
      <c r="E38" s="144"/>
    </row>
    <row r="39" spans="1:5" ht="15" outlineLevel="2">
      <c r="A39" s="87" t="s">
        <v>1006</v>
      </c>
      <c r="B39" s="83" t="s">
        <v>1586</v>
      </c>
      <c r="C39" s="83" t="s">
        <v>344</v>
      </c>
      <c r="D39" s="106">
        <v>4059.8</v>
      </c>
      <c r="E39" s="144"/>
    </row>
    <row r="40" spans="1:5" ht="15" outlineLevel="2">
      <c r="A40" s="87" t="s">
        <v>2</v>
      </c>
      <c r="B40" s="83" t="s">
        <v>1586</v>
      </c>
      <c r="C40" s="83" t="s">
        <v>783</v>
      </c>
      <c r="D40" s="106">
        <v>1470.65</v>
      </c>
      <c r="E40" s="144"/>
    </row>
    <row r="41" spans="1:5" ht="15" outlineLevel="2">
      <c r="A41" s="87" t="s">
        <v>1937</v>
      </c>
      <c r="B41" s="83" t="s">
        <v>1588</v>
      </c>
      <c r="C41" s="83" t="s">
        <v>1938</v>
      </c>
      <c r="D41" s="106">
        <v>140</v>
      </c>
      <c r="E41" s="144"/>
    </row>
    <row r="42" spans="1:4" ht="13.5" customHeight="1" outlineLevel="1">
      <c r="A42" s="256" t="s">
        <v>1591</v>
      </c>
      <c r="B42" s="256"/>
      <c r="C42" s="257"/>
      <c r="D42" s="105">
        <f>D43+D44+D45+D46+D47+D48+D49+D50+D51+D52+D53+D54+D55</f>
        <v>34413.350000000006</v>
      </c>
    </row>
    <row r="43" spans="1:5" ht="15" outlineLevel="2">
      <c r="A43" s="87" t="s">
        <v>1267</v>
      </c>
      <c r="B43" s="83" t="s">
        <v>1577</v>
      </c>
      <c r="C43" s="83" t="s">
        <v>862</v>
      </c>
      <c r="D43" s="106">
        <v>267.5</v>
      </c>
      <c r="E43" s="144"/>
    </row>
    <row r="44" spans="1:5" ht="15" customHeight="1" outlineLevel="2">
      <c r="A44" s="87" t="s">
        <v>1064</v>
      </c>
      <c r="B44" s="83" t="s">
        <v>1579</v>
      </c>
      <c r="C44" s="83" t="s">
        <v>455</v>
      </c>
      <c r="D44" s="106">
        <v>2907.2</v>
      </c>
      <c r="E44" s="144"/>
    </row>
    <row r="45" spans="1:5" ht="15" outlineLevel="2">
      <c r="A45" s="83" t="s">
        <v>1065</v>
      </c>
      <c r="B45" s="83" t="s">
        <v>1579</v>
      </c>
      <c r="C45" s="83" t="s">
        <v>1066</v>
      </c>
      <c r="D45" s="106">
        <v>10018.44</v>
      </c>
      <c r="E45" s="144"/>
    </row>
    <row r="46" spans="1:5" ht="15" outlineLevel="2">
      <c r="A46" s="87" t="s">
        <v>2181</v>
      </c>
      <c r="B46" s="83" t="s">
        <v>1579</v>
      </c>
      <c r="C46" s="83" t="s">
        <v>1237</v>
      </c>
      <c r="D46" s="106">
        <v>153.17</v>
      </c>
      <c r="E46" s="144"/>
    </row>
    <row r="47" spans="1:5" ht="15" outlineLevel="2">
      <c r="A47" s="87" t="s">
        <v>1238</v>
      </c>
      <c r="B47" s="83" t="s">
        <v>1579</v>
      </c>
      <c r="C47" s="83" t="s">
        <v>1239</v>
      </c>
      <c r="D47" s="106">
        <v>2659.77</v>
      </c>
      <c r="E47" s="144"/>
    </row>
    <row r="48" spans="1:5" ht="15" outlineLevel="2">
      <c r="A48" s="87" t="s">
        <v>1241</v>
      </c>
      <c r="B48" s="83" t="s">
        <v>1579</v>
      </c>
      <c r="C48" s="83" t="s">
        <v>1242</v>
      </c>
      <c r="D48" s="106">
        <v>1254.85</v>
      </c>
      <c r="E48" s="144"/>
    </row>
    <row r="49" spans="1:5" ht="15" outlineLevel="2">
      <c r="A49" s="87" t="s">
        <v>137</v>
      </c>
      <c r="B49" s="83" t="s">
        <v>1580</v>
      </c>
      <c r="C49" s="83" t="s">
        <v>1243</v>
      </c>
      <c r="D49" s="106">
        <v>168.3</v>
      </c>
      <c r="E49" s="144"/>
    </row>
    <row r="50" spans="1:5" ht="15" outlineLevel="2">
      <c r="A50" s="87" t="s">
        <v>1251</v>
      </c>
      <c r="B50" s="83" t="s">
        <v>1581</v>
      </c>
      <c r="C50" s="83" t="s">
        <v>1252</v>
      </c>
      <c r="D50" s="106">
        <v>136.34</v>
      </c>
      <c r="E50" s="144"/>
    </row>
    <row r="51" spans="1:5" ht="15" outlineLevel="2">
      <c r="A51" s="87" t="s">
        <v>1256</v>
      </c>
      <c r="B51" s="83" t="s">
        <v>1583</v>
      </c>
      <c r="C51" s="83" t="s">
        <v>1257</v>
      </c>
      <c r="D51" s="106">
        <v>3423.2</v>
      </c>
      <c r="E51" s="144"/>
    </row>
    <row r="52" spans="1:5" ht="15" outlineLevel="2">
      <c r="A52" s="87" t="s">
        <v>2365</v>
      </c>
      <c r="B52" s="83" t="s">
        <v>1583</v>
      </c>
      <c r="C52" s="83" t="s">
        <v>606</v>
      </c>
      <c r="D52" s="106">
        <v>900.89</v>
      </c>
      <c r="E52" s="144"/>
    </row>
    <row r="53" spans="1:5" ht="15" outlineLevel="2">
      <c r="A53" s="87" t="s">
        <v>1262</v>
      </c>
      <c r="B53" s="83" t="s">
        <v>1585</v>
      </c>
      <c r="C53" s="83" t="s">
        <v>1263</v>
      </c>
      <c r="D53" s="106">
        <v>6960.99</v>
      </c>
      <c r="E53" s="144"/>
    </row>
    <row r="54" spans="1:5" ht="15" outlineLevel="2">
      <c r="A54" s="87" t="s">
        <v>1006</v>
      </c>
      <c r="B54" s="83" t="s">
        <v>1586</v>
      </c>
      <c r="C54" s="83" t="s">
        <v>1007</v>
      </c>
      <c r="D54" s="106">
        <v>4059.8</v>
      </c>
      <c r="E54" s="144"/>
    </row>
    <row r="55" spans="1:5" ht="15" outlineLevel="2">
      <c r="A55" s="87" t="s">
        <v>1128</v>
      </c>
      <c r="B55" s="83" t="s">
        <v>1587</v>
      </c>
      <c r="C55" s="83" t="s">
        <v>1126</v>
      </c>
      <c r="D55" s="106">
        <v>1502.9</v>
      </c>
      <c r="E55" s="144"/>
    </row>
    <row r="56" spans="1:4" ht="15.75" customHeight="1" outlineLevel="1">
      <c r="A56" s="256" t="s">
        <v>1594</v>
      </c>
      <c r="B56" s="256"/>
      <c r="C56" s="257"/>
      <c r="D56" s="105">
        <f>D57+D58+D59+D60+D61+D62</f>
        <v>3703.17</v>
      </c>
    </row>
    <row r="57" spans="1:5" ht="15" outlineLevel="2">
      <c r="A57" s="88" t="s">
        <v>5</v>
      </c>
      <c r="B57" s="82" t="s">
        <v>1577</v>
      </c>
      <c r="C57" s="82" t="s">
        <v>2051</v>
      </c>
      <c r="D57" s="106">
        <v>83.6</v>
      </c>
      <c r="E57" s="144"/>
    </row>
    <row r="58" spans="1:5" ht="15" outlineLevel="2">
      <c r="A58" s="87" t="s">
        <v>1061</v>
      </c>
      <c r="B58" s="83" t="s">
        <v>1578</v>
      </c>
      <c r="C58" s="83" t="s">
        <v>1062</v>
      </c>
      <c r="D58" s="106">
        <v>578.88</v>
      </c>
      <c r="E58" s="144"/>
    </row>
    <row r="59" spans="1:5" ht="15" outlineLevel="2">
      <c r="A59" s="87" t="s">
        <v>1244</v>
      </c>
      <c r="B59" s="83" t="s">
        <v>1580</v>
      </c>
      <c r="C59" s="83" t="s">
        <v>1245</v>
      </c>
      <c r="D59" s="106">
        <v>466.16</v>
      </c>
      <c r="E59" s="144"/>
    </row>
    <row r="60" spans="1:5" ht="15" outlineLevel="2">
      <c r="A60" s="87" t="s">
        <v>1703</v>
      </c>
      <c r="B60" s="83" t="s">
        <v>1581</v>
      </c>
      <c r="C60" s="83" t="s">
        <v>1248</v>
      </c>
      <c r="D60" s="106">
        <v>352.23</v>
      </c>
      <c r="E60" s="144"/>
    </row>
    <row r="61" spans="1:5" ht="15" outlineLevel="2">
      <c r="A61" s="87" t="s">
        <v>1253</v>
      </c>
      <c r="B61" s="83" t="s">
        <v>1582</v>
      </c>
      <c r="C61" s="83" t="s">
        <v>1254</v>
      </c>
      <c r="D61" s="106">
        <v>1755.78</v>
      </c>
      <c r="E61" s="144"/>
    </row>
    <row r="62" spans="1:5" ht="15" outlineLevel="2">
      <c r="A62" s="87" t="s">
        <v>1255</v>
      </c>
      <c r="B62" s="83" t="s">
        <v>1582</v>
      </c>
      <c r="C62" s="83" t="s">
        <v>2291</v>
      </c>
      <c r="D62" s="106">
        <v>466.52</v>
      </c>
      <c r="E62" s="144"/>
    </row>
    <row r="63" spans="1:4" ht="14.25" customHeight="1" outlineLevel="1">
      <c r="A63" s="256" t="s">
        <v>1599</v>
      </c>
      <c r="B63" s="256"/>
      <c r="C63" s="257"/>
      <c r="D63" s="105">
        <f>SUM(D64:D69)</f>
        <v>132437.91</v>
      </c>
    </row>
    <row r="64" spans="1:5" ht="15" outlineLevel="2">
      <c r="A64" s="83" t="s">
        <v>1247</v>
      </c>
      <c r="B64" s="83" t="s">
        <v>1580</v>
      </c>
      <c r="C64" s="83" t="s">
        <v>1498</v>
      </c>
      <c r="D64" s="106">
        <v>10009.33</v>
      </c>
      <c r="E64" s="144"/>
    </row>
    <row r="65" spans="1:5" ht="15" outlineLevel="2">
      <c r="A65" s="83" t="s">
        <v>1260</v>
      </c>
      <c r="B65" s="83" t="s">
        <v>1583</v>
      </c>
      <c r="C65" s="83" t="s">
        <v>1261</v>
      </c>
      <c r="D65" s="106">
        <v>562.84</v>
      </c>
      <c r="E65" s="144"/>
    </row>
    <row r="66" spans="1:5" ht="15.75" customHeight="1" outlineLevel="2">
      <c r="A66" s="83" t="s">
        <v>1264</v>
      </c>
      <c r="B66" s="83" t="s">
        <v>1585</v>
      </c>
      <c r="C66" s="83" t="s">
        <v>1265</v>
      </c>
      <c r="D66" s="106">
        <v>48594</v>
      </c>
      <c r="E66" s="144"/>
    </row>
    <row r="67" spans="1:5" ht="15" outlineLevel="2">
      <c r="A67" s="83" t="s">
        <v>1264</v>
      </c>
      <c r="B67" s="83" t="s">
        <v>1585</v>
      </c>
      <c r="C67" s="83" t="s">
        <v>821</v>
      </c>
      <c r="D67" s="106">
        <v>48594</v>
      </c>
      <c r="E67" s="144"/>
    </row>
    <row r="68" spans="1:5" ht="15" outlineLevel="2">
      <c r="A68" s="83" t="s">
        <v>1008</v>
      </c>
      <c r="B68" s="83" t="s">
        <v>1586</v>
      </c>
      <c r="C68" s="83" t="s">
        <v>1009</v>
      </c>
      <c r="D68" s="106">
        <v>732.56</v>
      </c>
      <c r="E68" s="144"/>
    </row>
    <row r="69" spans="1:5" ht="15" outlineLevel="2">
      <c r="A69" s="83" t="s">
        <v>964</v>
      </c>
      <c r="B69" s="83" t="s">
        <v>1588</v>
      </c>
      <c r="C69" s="83" t="s">
        <v>1</v>
      </c>
      <c r="D69" s="106">
        <v>23945.18</v>
      </c>
      <c r="E69" s="144"/>
    </row>
    <row r="70" spans="1:4" ht="14.25" customHeight="1" outlineLevel="1">
      <c r="A70" s="256" t="s">
        <v>1713</v>
      </c>
      <c r="B70" s="256"/>
      <c r="C70" s="257"/>
      <c r="D70" s="105">
        <f>SUM(D71:D82)</f>
        <v>145900.59999999995</v>
      </c>
    </row>
    <row r="71" spans="1:5" ht="15" outlineLevel="2">
      <c r="A71" s="82"/>
      <c r="B71" s="82" t="s">
        <v>1577</v>
      </c>
      <c r="C71" s="82" t="s">
        <v>1496</v>
      </c>
      <c r="D71" s="106">
        <v>12376.9</v>
      </c>
      <c r="E71" s="144"/>
    </row>
    <row r="72" spans="1:5" ht="15" outlineLevel="2">
      <c r="A72" s="83"/>
      <c r="B72" s="83" t="s">
        <v>1578</v>
      </c>
      <c r="C72" s="83" t="s">
        <v>1496</v>
      </c>
      <c r="D72" s="106">
        <v>12376.9</v>
      </c>
      <c r="E72" s="144"/>
    </row>
    <row r="73" spans="1:5" ht="15" outlineLevel="2">
      <c r="A73" s="83"/>
      <c r="B73" s="83" t="s">
        <v>1579</v>
      </c>
      <c r="C73" s="83" t="s">
        <v>1496</v>
      </c>
      <c r="D73" s="106">
        <v>12376.9</v>
      </c>
      <c r="E73" s="144"/>
    </row>
    <row r="74" spans="1:5" ht="15" outlineLevel="2">
      <c r="A74" s="83"/>
      <c r="B74" s="83" t="s">
        <v>1580</v>
      </c>
      <c r="C74" s="83" t="s">
        <v>1496</v>
      </c>
      <c r="D74" s="106">
        <v>12376.9</v>
      </c>
      <c r="E74" s="144"/>
    </row>
    <row r="75" spans="1:5" ht="15" outlineLevel="2">
      <c r="A75" s="83"/>
      <c r="B75" s="83" t="s">
        <v>1581</v>
      </c>
      <c r="C75" s="83" t="s">
        <v>1496</v>
      </c>
      <c r="D75" s="106">
        <v>11852.46</v>
      </c>
      <c r="E75" s="144"/>
    </row>
    <row r="76" spans="1:5" ht="15" outlineLevel="2">
      <c r="A76" s="83"/>
      <c r="B76" s="83" t="s">
        <v>1582</v>
      </c>
      <c r="C76" s="83" t="s">
        <v>1496</v>
      </c>
      <c r="D76" s="106">
        <v>11852.46</v>
      </c>
      <c r="E76" s="144"/>
    </row>
    <row r="77" spans="1:5" ht="15" outlineLevel="2">
      <c r="A77" s="83"/>
      <c r="B77" s="83" t="s">
        <v>1583</v>
      </c>
      <c r="C77" s="83" t="s">
        <v>1496</v>
      </c>
      <c r="D77" s="106">
        <v>11852.46</v>
      </c>
      <c r="E77" s="144"/>
    </row>
    <row r="78" spans="1:5" ht="15" outlineLevel="2">
      <c r="A78" s="83"/>
      <c r="B78" s="83" t="s">
        <v>1584</v>
      </c>
      <c r="C78" s="83" t="s">
        <v>1496</v>
      </c>
      <c r="D78" s="106">
        <v>11852.46</v>
      </c>
      <c r="E78" s="144"/>
    </row>
    <row r="79" spans="1:5" ht="15" outlineLevel="2">
      <c r="A79" s="83"/>
      <c r="B79" s="83" t="s">
        <v>1585</v>
      </c>
      <c r="C79" s="83" t="s">
        <v>1496</v>
      </c>
      <c r="D79" s="106">
        <v>11852.46</v>
      </c>
      <c r="E79" s="144"/>
    </row>
    <row r="80" spans="1:5" ht="15" outlineLevel="2">
      <c r="A80" s="83"/>
      <c r="B80" s="83" t="s">
        <v>1586</v>
      </c>
      <c r="C80" s="83" t="s">
        <v>1496</v>
      </c>
      <c r="D80" s="106">
        <v>12376.9</v>
      </c>
      <c r="E80" s="144"/>
    </row>
    <row r="81" spans="1:5" ht="15" outlineLevel="2">
      <c r="A81" s="83"/>
      <c r="B81" s="83" t="s">
        <v>1587</v>
      </c>
      <c r="C81" s="83" t="s">
        <v>1496</v>
      </c>
      <c r="D81" s="106">
        <v>12376.9</v>
      </c>
      <c r="E81" s="144"/>
    </row>
    <row r="82" spans="1:5" ht="15" outlineLevel="2">
      <c r="A82" s="89"/>
      <c r="B82" s="83" t="s">
        <v>1588</v>
      </c>
      <c r="C82" s="83" t="s">
        <v>1496</v>
      </c>
      <c r="D82" s="106">
        <v>12376.9</v>
      </c>
      <c r="E82" s="144"/>
    </row>
    <row r="83" spans="1:4" ht="14.25" customHeight="1" outlineLevel="1">
      <c r="A83" s="255" t="s">
        <v>1714</v>
      </c>
      <c r="B83" s="256"/>
      <c r="C83" s="257"/>
      <c r="D83" s="105">
        <f>1.46*3496.3*12</f>
        <v>61255.176</v>
      </c>
    </row>
    <row r="84" spans="1:4" ht="12.75" customHeight="1" outlineLevel="1">
      <c r="A84" s="256" t="s">
        <v>1715</v>
      </c>
      <c r="B84" s="256"/>
      <c r="C84" s="257"/>
      <c r="D84" s="105">
        <f>D85+D86+D87+D88+D89+D90+D91+D92+D93+D94+D95+D96+D97+D98+D99+D100</f>
        <v>12038.77</v>
      </c>
    </row>
    <row r="85" spans="1:5" ht="15" outlineLevel="1">
      <c r="A85" s="82" t="s">
        <v>66</v>
      </c>
      <c r="B85" s="82" t="s">
        <v>1577</v>
      </c>
      <c r="C85" s="82" t="s">
        <v>2179</v>
      </c>
      <c r="D85" s="106">
        <v>2164</v>
      </c>
      <c r="E85" s="144"/>
    </row>
    <row r="86" spans="1:5" ht="15" outlineLevel="1">
      <c r="A86" s="83" t="s">
        <v>811</v>
      </c>
      <c r="B86" s="83" t="s">
        <v>1577</v>
      </c>
      <c r="C86" s="83" t="s">
        <v>1500</v>
      </c>
      <c r="D86" s="106">
        <v>75.37</v>
      </c>
      <c r="E86" s="144"/>
    </row>
    <row r="87" spans="1:5" ht="15" outlineLevel="1">
      <c r="A87" s="83" t="s">
        <v>6</v>
      </c>
      <c r="B87" s="83" t="s">
        <v>1577</v>
      </c>
      <c r="C87" s="83" t="s">
        <v>1060</v>
      </c>
      <c r="D87" s="106">
        <v>711.82</v>
      </c>
      <c r="E87" s="144"/>
    </row>
    <row r="88" spans="1:5" ht="15" outlineLevel="2">
      <c r="A88" s="83" t="s">
        <v>2177</v>
      </c>
      <c r="B88" s="83" t="s">
        <v>1579</v>
      </c>
      <c r="C88" s="83" t="s">
        <v>1364</v>
      </c>
      <c r="D88" s="106">
        <v>669.1</v>
      </c>
      <c r="E88" s="144"/>
    </row>
    <row r="89" spans="1:5" ht="15" outlineLevel="2">
      <c r="A89" s="83" t="s">
        <v>2</v>
      </c>
      <c r="B89" s="83" t="s">
        <v>1579</v>
      </c>
      <c r="C89" s="83" t="s">
        <v>1495</v>
      </c>
      <c r="D89" s="106">
        <v>212</v>
      </c>
      <c r="E89" s="144"/>
    </row>
    <row r="90" spans="1:5" ht="15" outlineLevel="2">
      <c r="A90" s="83" t="s">
        <v>139</v>
      </c>
      <c r="B90" s="83" t="s">
        <v>1580</v>
      </c>
      <c r="C90" s="83" t="s">
        <v>2233</v>
      </c>
      <c r="D90" s="106">
        <v>578.08</v>
      </c>
      <c r="E90" s="144"/>
    </row>
    <row r="91" spans="1:5" ht="15" outlineLevel="2">
      <c r="A91" s="83" t="s">
        <v>1687</v>
      </c>
      <c r="B91" s="83" t="s">
        <v>1582</v>
      </c>
      <c r="C91" s="83" t="s">
        <v>1005</v>
      </c>
      <c r="D91" s="106">
        <v>1688</v>
      </c>
      <c r="E91" s="144"/>
    </row>
    <row r="92" spans="1:5" ht="15" outlineLevel="2">
      <c r="A92" s="83" t="s">
        <v>1033</v>
      </c>
      <c r="B92" s="83" t="s">
        <v>1582</v>
      </c>
      <c r="C92" s="83" t="s">
        <v>762</v>
      </c>
      <c r="D92" s="106">
        <v>250</v>
      </c>
      <c r="E92" s="144"/>
    </row>
    <row r="93" spans="1:5" ht="15" outlineLevel="2">
      <c r="A93" s="83" t="s">
        <v>313</v>
      </c>
      <c r="B93" s="83" t="s">
        <v>1583</v>
      </c>
      <c r="C93" s="83" t="s">
        <v>1005</v>
      </c>
      <c r="D93" s="106">
        <v>2265.83</v>
      </c>
      <c r="E93" s="144"/>
    </row>
    <row r="94" spans="1:5" ht="15" outlineLevel="2">
      <c r="A94" s="83" t="s">
        <v>1258</v>
      </c>
      <c r="B94" s="83" t="s">
        <v>1583</v>
      </c>
      <c r="C94" s="83" t="s">
        <v>152</v>
      </c>
      <c r="D94" s="106">
        <v>1008.4</v>
      </c>
      <c r="E94" s="144"/>
    </row>
    <row r="95" spans="1:5" ht="15" outlineLevel="2">
      <c r="A95" s="83" t="s">
        <v>1266</v>
      </c>
      <c r="B95" s="83" t="s">
        <v>1585</v>
      </c>
      <c r="C95" s="83" t="s">
        <v>110</v>
      </c>
      <c r="D95" s="106">
        <v>328.36</v>
      </c>
      <c r="E95" s="144"/>
    </row>
    <row r="96" spans="1:5" ht="15" outlineLevel="2">
      <c r="A96" s="83" t="s">
        <v>1004</v>
      </c>
      <c r="B96" s="83" t="s">
        <v>1586</v>
      </c>
      <c r="C96" s="83" t="s">
        <v>1005</v>
      </c>
      <c r="D96" s="106">
        <v>761</v>
      </c>
      <c r="E96" s="144"/>
    </row>
    <row r="97" spans="1:5" ht="15" outlineLevel="2">
      <c r="A97" s="83" t="s">
        <v>206</v>
      </c>
      <c r="B97" s="83" t="s">
        <v>1587</v>
      </c>
      <c r="C97" s="83" t="s">
        <v>207</v>
      </c>
      <c r="D97" s="106">
        <v>139.2</v>
      </c>
      <c r="E97" s="144"/>
    </row>
    <row r="98" spans="1:5" ht="15" outlineLevel="2">
      <c r="A98" s="83" t="s">
        <v>801</v>
      </c>
      <c r="B98" s="83" t="s">
        <v>1587</v>
      </c>
      <c r="C98" s="83" t="s">
        <v>803</v>
      </c>
      <c r="D98" s="106">
        <v>136.9</v>
      </c>
      <c r="E98" s="144"/>
    </row>
    <row r="99" spans="1:5" ht="15" outlineLevel="2">
      <c r="A99" s="83" t="s">
        <v>1958</v>
      </c>
      <c r="B99" s="83" t="s">
        <v>1588</v>
      </c>
      <c r="C99" s="83" t="s">
        <v>1961</v>
      </c>
      <c r="D99" s="106">
        <v>402.31</v>
      </c>
      <c r="E99" s="144"/>
    </row>
    <row r="100" spans="1:5" ht="15" outlineLevel="2">
      <c r="A100" s="83" t="s">
        <v>1899</v>
      </c>
      <c r="B100" s="83" t="s">
        <v>1588</v>
      </c>
      <c r="C100" s="83" t="s">
        <v>1291</v>
      </c>
      <c r="D100" s="106">
        <v>648.4</v>
      </c>
      <c r="E100" s="144"/>
    </row>
    <row r="101" spans="1:4" ht="14.25" customHeight="1" outlineLevel="1">
      <c r="A101" s="256" t="s">
        <v>1717</v>
      </c>
      <c r="B101" s="256"/>
      <c r="C101" s="257"/>
      <c r="D101" s="105">
        <f>SUM(D102:D105)</f>
        <v>1121.89</v>
      </c>
    </row>
    <row r="102" spans="1:5" ht="15" outlineLevel="2">
      <c r="A102" s="83" t="s">
        <v>1267</v>
      </c>
      <c r="B102" s="83" t="s">
        <v>1579</v>
      </c>
      <c r="C102" s="83" t="s">
        <v>1269</v>
      </c>
      <c r="D102" s="106">
        <v>212</v>
      </c>
      <c r="E102" s="144"/>
    </row>
    <row r="103" spans="1:5" ht="15" outlineLevel="2">
      <c r="A103" s="83" t="s">
        <v>2</v>
      </c>
      <c r="B103" s="83" t="s">
        <v>1581</v>
      </c>
      <c r="C103" s="83" t="s">
        <v>942</v>
      </c>
      <c r="D103" s="106">
        <v>166.69</v>
      </c>
      <c r="E103" s="144"/>
    </row>
    <row r="104" spans="1:5" ht="15" outlineLevel="2">
      <c r="A104" s="83" t="s">
        <v>1267</v>
      </c>
      <c r="B104" s="83" t="s">
        <v>1582</v>
      </c>
      <c r="C104" s="83" t="s">
        <v>1268</v>
      </c>
      <c r="D104" s="106">
        <v>563.2</v>
      </c>
      <c r="E104" s="144"/>
    </row>
    <row r="105" spans="1:5" ht="15" outlineLevel="2">
      <c r="A105" s="83" t="s">
        <v>2</v>
      </c>
      <c r="B105" s="83" t="s">
        <v>1587</v>
      </c>
      <c r="C105" s="83" t="s">
        <v>942</v>
      </c>
      <c r="D105" s="106">
        <v>180</v>
      </c>
      <c r="E105" s="144"/>
    </row>
    <row r="106" spans="1:4" ht="13.5" customHeight="1" outlineLevel="1">
      <c r="A106" s="256" t="s">
        <v>1595</v>
      </c>
      <c r="B106" s="256"/>
      <c r="C106" s="257"/>
      <c r="D106" s="105">
        <f>SUM(D107:D116)</f>
        <v>12090.67</v>
      </c>
    </row>
    <row r="107" spans="1:5" ht="15" outlineLevel="2">
      <c r="A107" s="82" t="s">
        <v>5</v>
      </c>
      <c r="B107" s="82" t="s">
        <v>1577</v>
      </c>
      <c r="C107" s="82" t="s">
        <v>2194</v>
      </c>
      <c r="D107" s="106">
        <v>83.6</v>
      </c>
      <c r="E107" s="144"/>
    </row>
    <row r="108" spans="1:5" ht="15" outlineLevel="2">
      <c r="A108" s="83" t="s">
        <v>1061</v>
      </c>
      <c r="B108" s="83" t="s">
        <v>1578</v>
      </c>
      <c r="C108" s="83" t="s">
        <v>2030</v>
      </c>
      <c r="D108" s="106">
        <v>645.45</v>
      </c>
      <c r="E108" s="144"/>
    </row>
    <row r="109" spans="1:5" ht="15" outlineLevel="2">
      <c r="A109" s="83" t="s">
        <v>1244</v>
      </c>
      <c r="B109" s="83" t="s">
        <v>1580</v>
      </c>
      <c r="C109" s="83" t="s">
        <v>1404</v>
      </c>
      <c r="D109" s="106">
        <v>481.03</v>
      </c>
      <c r="E109" s="144"/>
    </row>
    <row r="110" spans="1:5" ht="15" outlineLevel="2">
      <c r="A110" s="83" t="s">
        <v>1253</v>
      </c>
      <c r="B110" s="83" t="s">
        <v>1582</v>
      </c>
      <c r="C110" s="83" t="s">
        <v>1436</v>
      </c>
      <c r="D110" s="106">
        <v>1890.98</v>
      </c>
      <c r="E110" s="144"/>
    </row>
    <row r="111" spans="1:5" ht="15" outlineLevel="2">
      <c r="A111" s="83" t="s">
        <v>1255</v>
      </c>
      <c r="B111" s="83" t="s">
        <v>1582</v>
      </c>
      <c r="C111" s="83" t="s">
        <v>1612</v>
      </c>
      <c r="D111" s="106">
        <v>514.57</v>
      </c>
      <c r="E111" s="144"/>
    </row>
    <row r="112" spans="1:5" ht="15" outlineLevel="2">
      <c r="A112" s="83" t="s">
        <v>43</v>
      </c>
      <c r="B112" s="83" t="s">
        <v>1583</v>
      </c>
      <c r="C112" s="83" t="s">
        <v>175</v>
      </c>
      <c r="D112" s="106">
        <v>263.11</v>
      </c>
      <c r="E112" s="144"/>
    </row>
    <row r="113" spans="1:5" ht="15" outlineLevel="2">
      <c r="A113" s="83" t="s">
        <v>522</v>
      </c>
      <c r="B113" s="83" t="s">
        <v>1584</v>
      </c>
      <c r="C113" s="83" t="s">
        <v>523</v>
      </c>
      <c r="D113" s="106">
        <v>1782.39</v>
      </c>
      <c r="E113" s="144"/>
    </row>
    <row r="114" spans="1:5" ht="15" outlineLevel="2">
      <c r="A114" s="83" t="s">
        <v>1003</v>
      </c>
      <c r="B114" s="83" t="s">
        <v>1586</v>
      </c>
      <c r="C114" s="83" t="s">
        <v>2188</v>
      </c>
      <c r="D114" s="106">
        <v>994</v>
      </c>
      <c r="E114" s="144"/>
    </row>
    <row r="115" spans="1:5" ht="15" outlineLevel="2">
      <c r="A115" s="83" t="s">
        <v>748</v>
      </c>
      <c r="B115" s="83" t="s">
        <v>1587</v>
      </c>
      <c r="C115" s="83" t="s">
        <v>749</v>
      </c>
      <c r="D115" s="106">
        <v>867.54</v>
      </c>
      <c r="E115" s="144"/>
    </row>
    <row r="116" spans="1:5" ht="30" outlineLevel="2">
      <c r="A116" s="83" t="s">
        <v>982</v>
      </c>
      <c r="B116" s="83" t="s">
        <v>1588</v>
      </c>
      <c r="C116" s="83" t="s">
        <v>983</v>
      </c>
      <c r="D116" s="106">
        <v>4568</v>
      </c>
      <c r="E116" s="144"/>
    </row>
    <row r="117" spans="1:4" ht="14.25" customHeight="1" outlineLevel="1">
      <c r="A117" s="256" t="s">
        <v>1718</v>
      </c>
      <c r="B117" s="256"/>
      <c r="C117" s="257"/>
      <c r="D117" s="105">
        <f>SUM(D118:D126)</f>
        <v>9429.829999999998</v>
      </c>
    </row>
    <row r="118" spans="1:5" ht="15" outlineLevel="2">
      <c r="A118" s="83" t="s">
        <v>2</v>
      </c>
      <c r="B118" s="83" t="s">
        <v>1577</v>
      </c>
      <c r="C118" s="145" t="s">
        <v>1897</v>
      </c>
      <c r="D118" s="146">
        <v>1800.31</v>
      </c>
      <c r="E118" s="144"/>
    </row>
    <row r="119" spans="1:5" ht="15" outlineLevel="2">
      <c r="A119" s="83" t="s">
        <v>1267</v>
      </c>
      <c r="B119" s="83" t="s">
        <v>1579</v>
      </c>
      <c r="C119" s="83" t="s">
        <v>1270</v>
      </c>
      <c r="D119" s="106">
        <v>1381.25</v>
      </c>
      <c r="E119" s="144"/>
    </row>
    <row r="120" spans="1:5" ht="15" outlineLevel="2">
      <c r="A120" s="83" t="s">
        <v>1267</v>
      </c>
      <c r="B120" s="83" t="s">
        <v>1579</v>
      </c>
      <c r="C120" s="83" t="s">
        <v>1270</v>
      </c>
      <c r="D120" s="106">
        <v>1381.25</v>
      </c>
      <c r="E120" s="144"/>
    </row>
    <row r="121" spans="1:5" ht="15" outlineLevel="2">
      <c r="A121" s="83" t="s">
        <v>425</v>
      </c>
      <c r="B121" s="83" t="s">
        <v>1579</v>
      </c>
      <c r="C121" s="83" t="s">
        <v>211</v>
      </c>
      <c r="D121" s="106">
        <v>1705.65</v>
      </c>
      <c r="E121" s="144"/>
    </row>
    <row r="122" spans="1:5" ht="15" outlineLevel="2">
      <c r="A122" s="83" t="s">
        <v>1703</v>
      </c>
      <c r="B122" s="83" t="s">
        <v>1581</v>
      </c>
      <c r="C122" s="83" t="s">
        <v>47</v>
      </c>
      <c r="D122" s="106">
        <v>389</v>
      </c>
      <c r="E122" s="144"/>
    </row>
    <row r="123" spans="1:5" ht="15" outlineLevel="2">
      <c r="A123" s="83" t="s">
        <v>2</v>
      </c>
      <c r="B123" s="83" t="s">
        <v>57</v>
      </c>
      <c r="C123" s="83" t="s">
        <v>721</v>
      </c>
      <c r="D123" s="106">
        <v>120.73</v>
      </c>
      <c r="E123" s="144"/>
    </row>
    <row r="124" spans="1:5" ht="15" outlineLevel="2">
      <c r="A124" s="83" t="s">
        <v>2</v>
      </c>
      <c r="B124" s="83" t="s">
        <v>1581</v>
      </c>
      <c r="C124" s="83" t="s">
        <v>2390</v>
      </c>
      <c r="D124" s="106">
        <v>1756.24</v>
      </c>
      <c r="E124" s="144"/>
    </row>
    <row r="125" spans="1:5" ht="15" outlineLevel="2">
      <c r="A125" s="83" t="s">
        <v>2</v>
      </c>
      <c r="B125" s="83" t="s">
        <v>57</v>
      </c>
      <c r="C125" s="83" t="s">
        <v>936</v>
      </c>
      <c r="D125" s="106">
        <v>134.4</v>
      </c>
      <c r="E125" s="144"/>
    </row>
    <row r="126" spans="1:5" ht="15" outlineLevel="2">
      <c r="A126" s="83" t="s">
        <v>1004</v>
      </c>
      <c r="B126" s="83" t="s">
        <v>1586</v>
      </c>
      <c r="C126" s="147" t="s">
        <v>1005</v>
      </c>
      <c r="D126" s="106">
        <v>761</v>
      </c>
      <c r="E126" s="144"/>
    </row>
    <row r="127" spans="1:4" ht="15" customHeight="1">
      <c r="A127" s="256" t="s">
        <v>2290</v>
      </c>
      <c r="B127" s="256"/>
      <c r="C127" s="257"/>
      <c r="D127" s="148">
        <f>D128</f>
        <v>357779</v>
      </c>
    </row>
    <row r="128" spans="1:5" ht="15" outlineLevel="1">
      <c r="A128" s="149" t="s">
        <v>1011</v>
      </c>
      <c r="B128" s="84" t="s">
        <v>1584</v>
      </c>
      <c r="C128" s="150" t="s">
        <v>1010</v>
      </c>
      <c r="D128" s="146">
        <v>357779</v>
      </c>
      <c r="E128" s="151"/>
    </row>
    <row r="129" spans="1:5" ht="13.5" customHeight="1" outlineLevel="1">
      <c r="A129" s="256" t="s">
        <v>0</v>
      </c>
      <c r="B129" s="256"/>
      <c r="C129" s="257"/>
      <c r="D129" s="105">
        <f>0.1*3496.3*12</f>
        <v>4195.56</v>
      </c>
      <c r="E129" s="151"/>
    </row>
    <row r="130" spans="1:5" ht="13.5" customHeight="1" outlineLevel="1">
      <c r="A130" s="256" t="s">
        <v>1369</v>
      </c>
      <c r="B130" s="256"/>
      <c r="C130" s="257"/>
      <c r="D130" s="105">
        <v>3166.66</v>
      </c>
      <c r="E130" s="151"/>
    </row>
    <row r="131" spans="1:5" ht="15">
      <c r="A131" s="273" t="s">
        <v>255</v>
      </c>
      <c r="B131" s="273"/>
      <c r="C131" s="273"/>
      <c r="D131" s="43">
        <f>0.94*3496.3*12</f>
        <v>39438.263999999996</v>
      </c>
      <c r="E131" s="152"/>
    </row>
    <row r="132" spans="1:5" ht="15">
      <c r="A132" s="270" t="s">
        <v>59</v>
      </c>
      <c r="B132" s="270"/>
      <c r="C132" s="270"/>
      <c r="D132" s="43">
        <f>1.57*3496.3*12</f>
        <v>65870.29200000002</v>
      </c>
      <c r="E132" s="144"/>
    </row>
    <row r="133" spans="1:5" ht="15">
      <c r="A133" s="270" t="s">
        <v>256</v>
      </c>
      <c r="B133" s="270"/>
      <c r="C133" s="270"/>
      <c r="D133" s="43">
        <f>10.3*(D135+D136)/100</f>
        <v>92479.08869</v>
      </c>
      <c r="E133" s="144"/>
    </row>
    <row r="134" spans="1:4" ht="15">
      <c r="A134" s="272" t="s">
        <v>659</v>
      </c>
      <c r="B134" s="272"/>
      <c r="C134" s="272"/>
      <c r="D134" s="44">
        <f>D133+D132+D131+D8+D3</f>
        <v>716633.1606899999</v>
      </c>
    </row>
    <row r="135" spans="1:5" ht="15">
      <c r="A135" s="270" t="s">
        <v>258</v>
      </c>
      <c r="B135" s="270"/>
      <c r="C135" s="270"/>
      <c r="D135" s="43">
        <v>789024.56</v>
      </c>
      <c r="E135" s="144"/>
    </row>
    <row r="136" spans="1:4" ht="15" customHeight="1">
      <c r="A136" s="270" t="s">
        <v>259</v>
      </c>
      <c r="B136" s="270"/>
      <c r="C136" s="270"/>
      <c r="D136" s="43">
        <v>108830.67</v>
      </c>
    </row>
    <row r="137" spans="1:4" ht="15">
      <c r="A137" s="270" t="s">
        <v>660</v>
      </c>
      <c r="B137" s="270"/>
      <c r="C137" s="270"/>
      <c r="D137" s="43">
        <v>2455412.57</v>
      </c>
    </row>
    <row r="138" spans="1:4" ht="15.75" customHeight="1">
      <c r="A138" s="270" t="s">
        <v>2340</v>
      </c>
      <c r="B138" s="270"/>
      <c r="C138" s="270"/>
      <c r="D138" s="43">
        <v>1945290.2</v>
      </c>
    </row>
    <row r="139" spans="1:4" ht="15.75" customHeight="1">
      <c r="A139" s="272" t="s">
        <v>2341</v>
      </c>
      <c r="B139" s="272"/>
      <c r="C139" s="272"/>
      <c r="D139" s="44">
        <f>'[5]Комсомольский 24'!$E$115+D134</f>
        <v>2372338.3106899997</v>
      </c>
    </row>
    <row r="140" spans="1:4" ht="15" customHeight="1">
      <c r="A140" s="270" t="s">
        <v>732</v>
      </c>
      <c r="B140" s="270"/>
      <c r="C140" s="270"/>
      <c r="D140" s="43">
        <v>340536.6</v>
      </c>
    </row>
    <row r="141" spans="1:4" ht="15" customHeight="1">
      <c r="A141" s="270" t="s">
        <v>733</v>
      </c>
      <c r="B141" s="270"/>
      <c r="C141" s="270"/>
      <c r="D141" s="43">
        <v>269813.6</v>
      </c>
    </row>
    <row r="142" spans="1:4" ht="15" customHeight="1">
      <c r="A142" s="272" t="s">
        <v>734</v>
      </c>
      <c r="B142" s="272"/>
      <c r="C142" s="272"/>
      <c r="D142" s="44">
        <f>D145+'[5]Комсомольский 20'!$E$104</f>
        <v>946528</v>
      </c>
    </row>
    <row r="143" spans="1:4" ht="15" customHeight="1">
      <c r="A143" s="270" t="s">
        <v>260</v>
      </c>
      <c r="B143" s="270"/>
      <c r="C143" s="270"/>
      <c r="D143" s="43">
        <v>602769.04</v>
      </c>
    </row>
    <row r="144" spans="1:4" ht="15" customHeight="1">
      <c r="A144" s="270" t="s">
        <v>735</v>
      </c>
      <c r="B144" s="270"/>
      <c r="C144" s="270"/>
      <c r="D144" s="43">
        <v>83140.32</v>
      </c>
    </row>
    <row r="145" spans="1:4" ht="15" customHeight="1">
      <c r="A145" s="272" t="s">
        <v>736</v>
      </c>
      <c r="B145" s="272"/>
      <c r="C145" s="272"/>
      <c r="D145" s="44">
        <f>D127</f>
        <v>357779</v>
      </c>
    </row>
    <row r="146" spans="1:4" ht="18.75" customHeight="1">
      <c r="A146" s="271" t="s">
        <v>737</v>
      </c>
      <c r="B146" s="271"/>
      <c r="C146" s="271"/>
      <c r="D146" s="45">
        <f>D137-D139</f>
        <v>83074.25931000011</v>
      </c>
    </row>
    <row r="147" spans="1:4" ht="18" customHeight="1">
      <c r="A147" s="271" t="s">
        <v>738</v>
      </c>
      <c r="B147" s="271"/>
      <c r="C147" s="271"/>
      <c r="D147" s="45">
        <f>D140-D142</f>
        <v>-605991.4</v>
      </c>
    </row>
    <row r="148" spans="1:4" ht="29.25" customHeight="1">
      <c r="A148" s="271" t="s">
        <v>2273</v>
      </c>
      <c r="B148" s="271"/>
      <c r="C148" s="271"/>
      <c r="D148" s="45">
        <f>D138-D139</f>
        <v>-427048.11068999977</v>
      </c>
    </row>
    <row r="149" ht="15">
      <c r="D149" s="90"/>
    </row>
    <row r="150" ht="15">
      <c r="D150" s="90"/>
    </row>
    <row r="151" ht="15">
      <c r="D151" s="90"/>
    </row>
    <row r="152" ht="15">
      <c r="D152" s="90"/>
    </row>
    <row r="153" ht="15">
      <c r="D153" s="90"/>
    </row>
  </sheetData>
  <sheetProtection/>
  <mergeCells count="39">
    <mergeCell ref="A141:C141"/>
    <mergeCell ref="A142:C142"/>
    <mergeCell ref="A136:C136"/>
    <mergeCell ref="A63:C63"/>
    <mergeCell ref="A134:C134"/>
    <mergeCell ref="A83:C83"/>
    <mergeCell ref="A84:C84"/>
    <mergeCell ref="A130:C130"/>
    <mergeCell ref="A135:C135"/>
    <mergeCell ref="A101:C101"/>
    <mergeCell ref="A133:C133"/>
    <mergeCell ref="A132:C132"/>
    <mergeCell ref="A131:C131"/>
    <mergeCell ref="A127:C127"/>
    <mergeCell ref="A129:C129"/>
    <mergeCell ref="A28:C28"/>
    <mergeCell ref="A42:C42"/>
    <mergeCell ref="A56:C56"/>
    <mergeCell ref="A117:C117"/>
    <mergeCell ref="A148:C148"/>
    <mergeCell ref="A137:C137"/>
    <mergeCell ref="A138:C138"/>
    <mergeCell ref="A139:C139"/>
    <mergeCell ref="A140:C140"/>
    <mergeCell ref="A146:C146"/>
    <mergeCell ref="A147:C147"/>
    <mergeCell ref="A143:C143"/>
    <mergeCell ref="A145:C145"/>
    <mergeCell ref="A144:C144"/>
    <mergeCell ref="A1:C1"/>
    <mergeCell ref="A106:C106"/>
    <mergeCell ref="A4:C4"/>
    <mergeCell ref="A6:C6"/>
    <mergeCell ref="A9:C9"/>
    <mergeCell ref="A3:B3"/>
    <mergeCell ref="A8:B8"/>
    <mergeCell ref="A7:C7"/>
    <mergeCell ref="A18:C18"/>
    <mergeCell ref="A70:C70"/>
  </mergeCells>
  <printOptions/>
  <pageMargins left="0.2755905511811024" right="0.1968503937007874" top="0.2755905511811024" bottom="0.2362204724409449" header="0.15748031496062992" footer="0.1574803149606299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9"/>
  <sheetViews>
    <sheetView zoomScalePageLayoutView="0" workbookViewId="0" topLeftCell="B97">
      <selection activeCell="F114" sqref="B1:F114"/>
    </sheetView>
  </sheetViews>
  <sheetFormatPr defaultColWidth="13.421875" defaultRowHeight="12.75" outlineLevelRow="2"/>
  <cols>
    <col min="1" max="1" width="9.140625" style="1" customWidth="1"/>
    <col min="2" max="2" width="3.421875" style="1" customWidth="1"/>
    <col min="3" max="3" width="11.8515625" style="1" customWidth="1"/>
    <col min="4" max="4" width="11.00390625" style="1" customWidth="1"/>
    <col min="5" max="5" width="74.421875" style="1" customWidth="1"/>
    <col min="6" max="6" width="14.8515625" style="1" customWidth="1"/>
    <col min="7" max="9" width="11.421875" style="1" customWidth="1"/>
    <col min="10" max="99" width="12.421875" style="1" customWidth="1"/>
    <col min="100" max="16384" width="13.421875" style="1" customWidth="1"/>
  </cols>
  <sheetData>
    <row r="1" spans="2:6" ht="15" thickBot="1">
      <c r="B1" s="315" t="s">
        <v>1869</v>
      </c>
      <c r="C1" s="315"/>
      <c r="D1" s="315"/>
      <c r="E1" s="315"/>
      <c r="F1" s="316"/>
    </row>
    <row r="2" spans="2:7" ht="30">
      <c r="B2" s="42"/>
      <c r="C2" s="101" t="s">
        <v>1570</v>
      </c>
      <c r="D2" s="102" t="s">
        <v>1571</v>
      </c>
      <c r="E2" s="103" t="s">
        <v>1572</v>
      </c>
      <c r="F2" s="104" t="s">
        <v>1573</v>
      </c>
      <c r="G2" s="6" t="s">
        <v>1574</v>
      </c>
    </row>
    <row r="3" spans="1:6" ht="15">
      <c r="A3" s="7"/>
      <c r="B3" s="115"/>
      <c r="C3" s="309"/>
      <c r="D3" s="309"/>
      <c r="E3" s="142" t="s">
        <v>1575</v>
      </c>
      <c r="F3" s="130">
        <f>F4+F6+F8</f>
        <v>146865.42</v>
      </c>
    </row>
    <row r="4" spans="2:6" ht="12.75" customHeight="1" outlineLevel="1">
      <c r="B4" s="255" t="s">
        <v>1595</v>
      </c>
      <c r="C4" s="256"/>
      <c r="D4" s="256"/>
      <c r="E4" s="257"/>
      <c r="F4" s="105">
        <f>SUM(F5:F5)</f>
        <v>21063.24</v>
      </c>
    </row>
    <row r="5" spans="2:7" ht="15" outlineLevel="2">
      <c r="B5" s="81"/>
      <c r="C5" s="84" t="s">
        <v>2320</v>
      </c>
      <c r="D5" s="84" t="s">
        <v>1579</v>
      </c>
      <c r="E5" s="84" t="s">
        <v>2321</v>
      </c>
      <c r="F5" s="106">
        <v>21063.24</v>
      </c>
      <c r="G5" s="14"/>
    </row>
    <row r="6" spans="2:6" ht="14.25" customHeight="1" outlineLevel="1">
      <c r="B6" s="255" t="s">
        <v>1598</v>
      </c>
      <c r="C6" s="256"/>
      <c r="D6" s="256"/>
      <c r="E6" s="257"/>
      <c r="F6" s="105">
        <f>SUM(F7:F7)</f>
        <v>2210.18</v>
      </c>
    </row>
    <row r="7" spans="2:7" ht="14.25" customHeight="1" outlineLevel="2">
      <c r="B7" s="81"/>
      <c r="C7" s="84" t="s">
        <v>242</v>
      </c>
      <c r="D7" s="84" t="s">
        <v>1579</v>
      </c>
      <c r="E7" s="84" t="s">
        <v>245</v>
      </c>
      <c r="F7" s="106">
        <v>2210.18</v>
      </c>
      <c r="G7" s="14"/>
    </row>
    <row r="8" spans="2:6" ht="15" customHeight="1" outlineLevel="1">
      <c r="B8" s="255" t="s">
        <v>1599</v>
      </c>
      <c r="C8" s="256"/>
      <c r="D8" s="256"/>
      <c r="E8" s="257"/>
      <c r="F8" s="105">
        <f>SUM(F9:F10)</f>
        <v>123592</v>
      </c>
    </row>
    <row r="9" spans="1:7" ht="15" outlineLevel="2">
      <c r="A9" s="15"/>
      <c r="B9" s="42"/>
      <c r="C9" s="83" t="s">
        <v>1888</v>
      </c>
      <c r="D9" s="83" t="s">
        <v>1586</v>
      </c>
      <c r="E9" s="83" t="s">
        <v>1889</v>
      </c>
      <c r="F9" s="106">
        <v>39844</v>
      </c>
      <c r="G9" s="14"/>
    </row>
    <row r="10" spans="1:7" ht="15" outlineLevel="2">
      <c r="A10" s="15"/>
      <c r="B10" s="82"/>
      <c r="C10" s="84" t="s">
        <v>966</v>
      </c>
      <c r="D10" s="83" t="s">
        <v>1588</v>
      </c>
      <c r="E10" s="84" t="s">
        <v>965</v>
      </c>
      <c r="F10" s="153">
        <v>83748</v>
      </c>
      <c r="G10" s="14"/>
    </row>
    <row r="11" spans="1:6" ht="13.5" customHeight="1">
      <c r="A11" s="7"/>
      <c r="B11" s="115"/>
      <c r="C11" s="309"/>
      <c r="D11" s="309"/>
      <c r="E11" s="142" t="s">
        <v>1600</v>
      </c>
      <c r="F11" s="130">
        <f>F12+F17+F25+F33+F45+F50+F63+F64+F75+F77+F80+F89+F95+F96</f>
        <v>314147.122</v>
      </c>
    </row>
    <row r="12" spans="2:6" ht="12.75" customHeight="1" outlineLevel="1">
      <c r="B12" s="255" t="s">
        <v>1576</v>
      </c>
      <c r="C12" s="256"/>
      <c r="D12" s="256"/>
      <c r="E12" s="257"/>
      <c r="F12" s="105">
        <f>SUM(F13:F16)</f>
        <v>1679.2000000000003</v>
      </c>
    </row>
    <row r="13" spans="2:7" ht="15" outlineLevel="2">
      <c r="B13" s="42"/>
      <c r="C13" s="83" t="s">
        <v>2</v>
      </c>
      <c r="D13" s="83" t="s">
        <v>1580</v>
      </c>
      <c r="E13" s="83" t="s">
        <v>2277</v>
      </c>
      <c r="F13" s="106">
        <v>59.95</v>
      </c>
      <c r="G13" s="14"/>
    </row>
    <row r="14" spans="2:7" ht="34.5" customHeight="1" outlineLevel="2">
      <c r="B14" s="42"/>
      <c r="C14" s="83" t="s">
        <v>508</v>
      </c>
      <c r="D14" s="83" t="s">
        <v>1582</v>
      </c>
      <c r="E14" s="83" t="s">
        <v>509</v>
      </c>
      <c r="F14" s="106">
        <v>462.17</v>
      </c>
      <c r="G14" s="14"/>
    </row>
    <row r="15" spans="2:7" ht="15" outlineLevel="2">
      <c r="B15" s="42"/>
      <c r="C15" s="83" t="s">
        <v>1033</v>
      </c>
      <c r="D15" s="83" t="s">
        <v>1583</v>
      </c>
      <c r="E15" s="83" t="s">
        <v>509</v>
      </c>
      <c r="F15" s="106">
        <v>1076.93</v>
      </c>
      <c r="G15" s="14"/>
    </row>
    <row r="16" spans="2:7" ht="15" outlineLevel="2">
      <c r="B16" s="42"/>
      <c r="C16" s="83" t="s">
        <v>2</v>
      </c>
      <c r="D16" s="83" t="s">
        <v>1583</v>
      </c>
      <c r="E16" s="83" t="s">
        <v>855</v>
      </c>
      <c r="F16" s="106">
        <v>80.15</v>
      </c>
      <c r="G16" s="14"/>
    </row>
    <row r="17" spans="2:6" ht="13.5" customHeight="1" outlineLevel="1">
      <c r="B17" s="255" t="s">
        <v>1589</v>
      </c>
      <c r="C17" s="256"/>
      <c r="D17" s="256"/>
      <c r="E17" s="257"/>
      <c r="F17" s="105">
        <f>SUM(F18:F24)</f>
        <v>13190.710000000001</v>
      </c>
    </row>
    <row r="18" spans="2:7" ht="30" customHeight="1" outlineLevel="2">
      <c r="B18" s="42"/>
      <c r="C18" s="82" t="s">
        <v>4</v>
      </c>
      <c r="D18" s="82" t="s">
        <v>1577</v>
      </c>
      <c r="E18" s="82" t="s">
        <v>426</v>
      </c>
      <c r="F18" s="106">
        <v>1214.8</v>
      </c>
      <c r="G18" s="14"/>
    </row>
    <row r="19" spans="2:7" ht="30" outlineLevel="2">
      <c r="B19" s="42"/>
      <c r="C19" s="83" t="s">
        <v>126</v>
      </c>
      <c r="D19" s="83" t="s">
        <v>1577</v>
      </c>
      <c r="E19" s="83" t="s">
        <v>1459</v>
      </c>
      <c r="F19" s="106">
        <v>653.3</v>
      </c>
      <c r="G19" s="14"/>
    </row>
    <row r="20" spans="2:7" ht="15" outlineLevel="2">
      <c r="B20" s="42"/>
      <c r="C20" s="83" t="s">
        <v>14</v>
      </c>
      <c r="D20" s="83" t="s">
        <v>1579</v>
      </c>
      <c r="E20" s="83" t="s">
        <v>2169</v>
      </c>
      <c r="F20" s="106">
        <v>328</v>
      </c>
      <c r="G20" s="14"/>
    </row>
    <row r="21" spans="2:7" ht="15" outlineLevel="2">
      <c r="B21" s="42"/>
      <c r="C21" s="83" t="s">
        <v>2314</v>
      </c>
      <c r="D21" s="83" t="s">
        <v>1579</v>
      </c>
      <c r="E21" s="83" t="s">
        <v>2316</v>
      </c>
      <c r="F21" s="106">
        <v>3342.74</v>
      </c>
      <c r="G21" s="14"/>
    </row>
    <row r="22" spans="2:7" ht="15" outlineLevel="2">
      <c r="B22" s="42"/>
      <c r="C22" s="83" t="s">
        <v>875</v>
      </c>
      <c r="D22" s="83" t="s">
        <v>1582</v>
      </c>
      <c r="E22" s="83" t="s">
        <v>1852</v>
      </c>
      <c r="F22" s="106">
        <v>5329.42</v>
      </c>
      <c r="G22" s="14"/>
    </row>
    <row r="23" spans="2:7" ht="15" outlineLevel="2">
      <c r="B23" s="42"/>
      <c r="C23" s="83" t="s">
        <v>1256</v>
      </c>
      <c r="D23" s="83" t="s">
        <v>1583</v>
      </c>
      <c r="E23" s="83" t="s">
        <v>1322</v>
      </c>
      <c r="F23" s="106">
        <v>408.86</v>
      </c>
      <c r="G23" s="14"/>
    </row>
    <row r="24" spans="2:7" ht="15" outlineLevel="2">
      <c r="B24" s="42"/>
      <c r="C24" s="83" t="s">
        <v>56</v>
      </c>
      <c r="D24" s="83" t="s">
        <v>1584</v>
      </c>
      <c r="E24" s="83" t="s">
        <v>2459</v>
      </c>
      <c r="F24" s="106">
        <v>1913.59</v>
      </c>
      <c r="G24" s="14"/>
    </row>
    <row r="25" spans="2:6" ht="15" customHeight="1" outlineLevel="1">
      <c r="B25" s="255" t="s">
        <v>1590</v>
      </c>
      <c r="C25" s="256"/>
      <c r="D25" s="256"/>
      <c r="E25" s="257"/>
      <c r="F25" s="105">
        <f>SUM(F26:F32)</f>
        <v>16111.7</v>
      </c>
    </row>
    <row r="26" spans="2:7" ht="15" outlineLevel="2">
      <c r="B26" s="42"/>
      <c r="C26" s="87" t="s">
        <v>2181</v>
      </c>
      <c r="D26" s="83" t="s">
        <v>1579</v>
      </c>
      <c r="E26" s="83" t="s">
        <v>2336</v>
      </c>
      <c r="F26" s="106">
        <v>217.67</v>
      </c>
      <c r="G26" s="14"/>
    </row>
    <row r="27" spans="2:7" ht="15" outlineLevel="2">
      <c r="B27" s="42"/>
      <c r="C27" s="87" t="s">
        <v>836</v>
      </c>
      <c r="D27" s="83" t="s">
        <v>1580</v>
      </c>
      <c r="E27" s="83" t="s">
        <v>1013</v>
      </c>
      <c r="F27" s="106">
        <v>1008.63</v>
      </c>
      <c r="G27" s="14"/>
    </row>
    <row r="28" spans="2:7" ht="15" outlineLevel="2">
      <c r="B28" s="42"/>
      <c r="C28" s="87" t="s">
        <v>2182</v>
      </c>
      <c r="D28" s="83" t="s">
        <v>1580</v>
      </c>
      <c r="E28" s="83" t="s">
        <v>1076</v>
      </c>
      <c r="F28" s="106">
        <v>84.7</v>
      </c>
      <c r="G28" s="14"/>
    </row>
    <row r="29" spans="2:7" ht="15" outlineLevel="2">
      <c r="B29" s="42"/>
      <c r="C29" s="87" t="s">
        <v>2</v>
      </c>
      <c r="D29" s="83" t="s">
        <v>1584</v>
      </c>
      <c r="E29" s="83" t="s">
        <v>760</v>
      </c>
      <c r="F29" s="106">
        <v>5627.7</v>
      </c>
      <c r="G29" s="14"/>
    </row>
    <row r="30" spans="2:7" ht="30" outlineLevel="2">
      <c r="B30" s="42"/>
      <c r="C30" s="87" t="s">
        <v>1894</v>
      </c>
      <c r="D30" s="83" t="s">
        <v>1586</v>
      </c>
      <c r="E30" s="83" t="s">
        <v>1923</v>
      </c>
      <c r="F30" s="106">
        <v>5861.16</v>
      </c>
      <c r="G30" s="14"/>
    </row>
    <row r="31" spans="2:7" ht="30" outlineLevel="2">
      <c r="B31" s="42"/>
      <c r="C31" s="87" t="s">
        <v>292</v>
      </c>
      <c r="D31" s="83" t="s">
        <v>1586</v>
      </c>
      <c r="E31" s="83" t="s">
        <v>1900</v>
      </c>
      <c r="F31" s="106">
        <v>1841.19</v>
      </c>
      <c r="G31" s="14"/>
    </row>
    <row r="32" spans="2:7" ht="15" outlineLevel="2">
      <c r="B32" s="42"/>
      <c r="C32" s="87" t="s">
        <v>2</v>
      </c>
      <c r="D32" s="83" t="s">
        <v>1586</v>
      </c>
      <c r="E32" s="83" t="s">
        <v>783</v>
      </c>
      <c r="F32" s="106">
        <v>1470.65</v>
      </c>
      <c r="G32" s="14"/>
    </row>
    <row r="33" spans="2:6" ht="14.25" customHeight="1" outlineLevel="1">
      <c r="B33" s="255" t="s">
        <v>1591</v>
      </c>
      <c r="C33" s="256"/>
      <c r="D33" s="256"/>
      <c r="E33" s="257"/>
      <c r="F33" s="105">
        <f>SUM(F34:F44)</f>
        <v>27387.530000000002</v>
      </c>
    </row>
    <row r="34" spans="2:7" ht="15" outlineLevel="2">
      <c r="B34" s="42"/>
      <c r="C34" s="88" t="s">
        <v>61</v>
      </c>
      <c r="D34" s="82" t="s">
        <v>1577</v>
      </c>
      <c r="E34" s="82" t="s">
        <v>20</v>
      </c>
      <c r="F34" s="106">
        <v>1315.55</v>
      </c>
      <c r="G34" s="14"/>
    </row>
    <row r="35" spans="2:7" ht="30" outlineLevel="2">
      <c r="B35" s="42"/>
      <c r="C35" s="87" t="s">
        <v>2329</v>
      </c>
      <c r="D35" s="83" t="s">
        <v>1578</v>
      </c>
      <c r="E35" s="83" t="s">
        <v>21</v>
      </c>
      <c r="F35" s="106">
        <v>1953.53</v>
      </c>
      <c r="G35" s="14"/>
    </row>
    <row r="36" spans="2:7" ht="15" outlineLevel="2">
      <c r="B36" s="42"/>
      <c r="C36" s="87" t="s">
        <v>879</v>
      </c>
      <c r="D36" s="83" t="s">
        <v>1579</v>
      </c>
      <c r="E36" s="83" t="s">
        <v>319</v>
      </c>
      <c r="F36" s="106">
        <v>1337.93</v>
      </c>
      <c r="G36" s="14"/>
    </row>
    <row r="37" spans="2:7" ht="15" outlineLevel="2">
      <c r="B37" s="42"/>
      <c r="C37" s="87" t="s">
        <v>1707</v>
      </c>
      <c r="D37" s="83" t="s">
        <v>1581</v>
      </c>
      <c r="E37" s="83" t="s">
        <v>290</v>
      </c>
      <c r="F37" s="106">
        <v>6688.26</v>
      </c>
      <c r="G37" s="14"/>
    </row>
    <row r="38" spans="2:7" ht="15" outlineLevel="2">
      <c r="B38" s="42"/>
      <c r="C38" s="87" t="s">
        <v>103</v>
      </c>
      <c r="D38" s="83" t="s">
        <v>1582</v>
      </c>
      <c r="E38" s="83" t="s">
        <v>1839</v>
      </c>
      <c r="F38" s="106">
        <v>1349.64</v>
      </c>
      <c r="G38" s="14"/>
    </row>
    <row r="39" spans="2:7" ht="15" outlineLevel="2">
      <c r="B39" s="42"/>
      <c r="C39" s="87" t="s">
        <v>1515</v>
      </c>
      <c r="D39" s="83" t="s">
        <v>1582</v>
      </c>
      <c r="E39" s="83" t="s">
        <v>80</v>
      </c>
      <c r="F39" s="106">
        <v>1361.3</v>
      </c>
      <c r="G39" s="14"/>
    </row>
    <row r="40" spans="2:7" ht="15" outlineLevel="2">
      <c r="B40" s="42"/>
      <c r="C40" s="87" t="s">
        <v>52</v>
      </c>
      <c r="D40" s="83" t="s">
        <v>1583</v>
      </c>
      <c r="E40" s="83" t="s">
        <v>315</v>
      </c>
      <c r="F40" s="106">
        <v>2285.17</v>
      </c>
      <c r="G40" s="14"/>
    </row>
    <row r="41" spans="2:7" ht="15" outlineLevel="2">
      <c r="B41" s="42"/>
      <c r="C41" s="87" t="s">
        <v>43</v>
      </c>
      <c r="D41" s="83" t="s">
        <v>1583</v>
      </c>
      <c r="E41" s="83" t="s">
        <v>176</v>
      </c>
      <c r="F41" s="106">
        <v>220.1</v>
      </c>
      <c r="G41" s="14"/>
    </row>
    <row r="42" spans="2:7" ht="15" outlineLevel="2">
      <c r="B42" s="42"/>
      <c r="C42" s="87" t="s">
        <v>524</v>
      </c>
      <c r="D42" s="83" t="s">
        <v>1584</v>
      </c>
      <c r="E42" s="83" t="s">
        <v>2443</v>
      </c>
      <c r="F42" s="106">
        <v>2483.43</v>
      </c>
      <c r="G42" s="14"/>
    </row>
    <row r="43" spans="2:7" ht="15" outlineLevel="2">
      <c r="B43" s="42"/>
      <c r="C43" s="87" t="s">
        <v>1128</v>
      </c>
      <c r="D43" s="83" t="s">
        <v>1587</v>
      </c>
      <c r="E43" s="83" t="s">
        <v>1126</v>
      </c>
      <c r="F43" s="106">
        <v>1502.9</v>
      </c>
      <c r="G43" s="14"/>
    </row>
    <row r="44" spans="2:7" ht="31.5" customHeight="1" outlineLevel="2">
      <c r="B44" s="42"/>
      <c r="C44" s="87" t="s">
        <v>436</v>
      </c>
      <c r="D44" s="83" t="s">
        <v>1588</v>
      </c>
      <c r="E44" s="83" t="s">
        <v>437</v>
      </c>
      <c r="F44" s="106">
        <v>6889.72</v>
      </c>
      <c r="G44" s="14"/>
    </row>
    <row r="45" spans="2:6" ht="12.75" customHeight="1" outlineLevel="1">
      <c r="B45" s="255" t="s">
        <v>1599</v>
      </c>
      <c r="C45" s="256"/>
      <c r="D45" s="256"/>
      <c r="E45" s="257"/>
      <c r="F45" s="105">
        <f>SUM(F46:F49)</f>
        <v>14783.02</v>
      </c>
    </row>
    <row r="46" spans="2:7" ht="15" outlineLevel="2">
      <c r="B46" s="42"/>
      <c r="C46" s="83" t="s">
        <v>2108</v>
      </c>
      <c r="D46" s="83" t="s">
        <v>1581</v>
      </c>
      <c r="E46" s="83" t="s">
        <v>2110</v>
      </c>
      <c r="F46" s="106">
        <v>60.17</v>
      </c>
      <c r="G46" s="14"/>
    </row>
    <row r="47" spans="2:7" ht="15" outlineLevel="2">
      <c r="B47" s="42"/>
      <c r="C47" s="83" t="s">
        <v>1260</v>
      </c>
      <c r="D47" s="83" t="s">
        <v>1583</v>
      </c>
      <c r="E47" s="83" t="s">
        <v>956</v>
      </c>
      <c r="F47" s="106">
        <v>3073.33</v>
      </c>
      <c r="G47" s="14"/>
    </row>
    <row r="48" spans="2:7" ht="15" outlineLevel="2">
      <c r="B48" s="42"/>
      <c r="C48" s="83" t="s">
        <v>2493</v>
      </c>
      <c r="D48" s="83" t="s">
        <v>1583</v>
      </c>
      <c r="E48" s="83" t="s">
        <v>2497</v>
      </c>
      <c r="F48" s="106">
        <v>159.42</v>
      </c>
      <c r="G48" s="14"/>
    </row>
    <row r="49" spans="2:7" ht="15" outlineLevel="2">
      <c r="B49" s="42"/>
      <c r="C49" s="83" t="s">
        <v>2499</v>
      </c>
      <c r="D49" s="83" t="s">
        <v>1583</v>
      </c>
      <c r="E49" s="83" t="s">
        <v>1405</v>
      </c>
      <c r="F49" s="106">
        <v>11490.1</v>
      </c>
      <c r="G49" s="14"/>
    </row>
    <row r="50" spans="2:6" ht="12" customHeight="1" outlineLevel="1">
      <c r="B50" s="255" t="s">
        <v>1713</v>
      </c>
      <c r="C50" s="256"/>
      <c r="D50" s="256"/>
      <c r="E50" s="257"/>
      <c r="F50" s="105">
        <f>SUM(F51:F62)</f>
        <v>148959.61</v>
      </c>
    </row>
    <row r="51" spans="2:7" ht="15" outlineLevel="2">
      <c r="B51" s="42"/>
      <c r="C51" s="82"/>
      <c r="D51" s="82" t="s">
        <v>1577</v>
      </c>
      <c r="E51" s="82" t="s">
        <v>1496</v>
      </c>
      <c r="F51" s="106">
        <v>12636.38</v>
      </c>
      <c r="G51" s="14"/>
    </row>
    <row r="52" spans="2:7" ht="15" outlineLevel="2">
      <c r="B52" s="42"/>
      <c r="C52" s="83"/>
      <c r="D52" s="83" t="s">
        <v>1578</v>
      </c>
      <c r="E52" s="83" t="s">
        <v>1496</v>
      </c>
      <c r="F52" s="106">
        <v>12636.38</v>
      </c>
      <c r="G52" s="14"/>
    </row>
    <row r="53" spans="2:7" ht="15" outlineLevel="2">
      <c r="B53" s="42"/>
      <c r="C53" s="83"/>
      <c r="D53" s="83" t="s">
        <v>1579</v>
      </c>
      <c r="E53" s="83" t="s">
        <v>1496</v>
      </c>
      <c r="F53" s="106">
        <v>12636.38</v>
      </c>
      <c r="G53" s="14"/>
    </row>
    <row r="54" spans="2:7" ht="15" outlineLevel="2">
      <c r="B54" s="42"/>
      <c r="C54" s="83"/>
      <c r="D54" s="83" t="s">
        <v>1580</v>
      </c>
      <c r="E54" s="83" t="s">
        <v>1496</v>
      </c>
      <c r="F54" s="106">
        <v>12636.38</v>
      </c>
      <c r="G54" s="14"/>
    </row>
    <row r="55" spans="2:7" ht="15" outlineLevel="2">
      <c r="B55" s="42"/>
      <c r="C55" s="83"/>
      <c r="D55" s="83" t="s">
        <v>1581</v>
      </c>
      <c r="E55" s="83" t="s">
        <v>1496</v>
      </c>
      <c r="F55" s="106">
        <v>12100.89</v>
      </c>
      <c r="G55" s="14"/>
    </row>
    <row r="56" spans="2:7" ht="15" outlineLevel="2">
      <c r="B56" s="42"/>
      <c r="C56" s="83"/>
      <c r="D56" s="83" t="s">
        <v>1582</v>
      </c>
      <c r="E56" s="83" t="s">
        <v>1496</v>
      </c>
      <c r="F56" s="106">
        <v>12100.89</v>
      </c>
      <c r="G56" s="14"/>
    </row>
    <row r="57" spans="2:7" ht="15" outlineLevel="2">
      <c r="B57" s="42"/>
      <c r="C57" s="83"/>
      <c r="D57" s="83" t="s">
        <v>1583</v>
      </c>
      <c r="E57" s="83" t="s">
        <v>1496</v>
      </c>
      <c r="F57" s="106">
        <v>12100.89</v>
      </c>
      <c r="G57" s="14"/>
    </row>
    <row r="58" spans="2:7" ht="15" outlineLevel="2">
      <c r="B58" s="42"/>
      <c r="C58" s="83"/>
      <c r="D58" s="83" t="s">
        <v>1584</v>
      </c>
      <c r="E58" s="83" t="s">
        <v>1496</v>
      </c>
      <c r="F58" s="106">
        <v>12100.89</v>
      </c>
      <c r="G58" s="14"/>
    </row>
    <row r="59" spans="2:7" ht="15" outlineLevel="2">
      <c r="B59" s="42"/>
      <c r="C59" s="83"/>
      <c r="D59" s="83" t="s">
        <v>1585</v>
      </c>
      <c r="E59" s="83" t="s">
        <v>1496</v>
      </c>
      <c r="F59" s="106">
        <v>12100.89</v>
      </c>
      <c r="G59" s="14"/>
    </row>
    <row r="60" spans="2:7" ht="15" outlineLevel="2">
      <c r="B60" s="42"/>
      <c r="C60" s="83"/>
      <c r="D60" s="83" t="s">
        <v>1586</v>
      </c>
      <c r="E60" s="83" t="s">
        <v>1496</v>
      </c>
      <c r="F60" s="106">
        <v>12636.38</v>
      </c>
      <c r="G60" s="14"/>
    </row>
    <row r="61" spans="2:7" ht="15" outlineLevel="2">
      <c r="B61" s="42"/>
      <c r="C61" s="83"/>
      <c r="D61" s="83" t="s">
        <v>1587</v>
      </c>
      <c r="E61" s="83" t="s">
        <v>1496</v>
      </c>
      <c r="F61" s="106">
        <v>12636.88</v>
      </c>
      <c r="G61" s="14"/>
    </row>
    <row r="62" spans="2:7" ht="15" outlineLevel="2">
      <c r="B62" s="42"/>
      <c r="C62" s="89"/>
      <c r="D62" s="83" t="s">
        <v>1588</v>
      </c>
      <c r="E62" s="83" t="s">
        <v>1496</v>
      </c>
      <c r="F62" s="106">
        <v>12636.38</v>
      </c>
      <c r="G62" s="14"/>
    </row>
    <row r="63" spans="2:6" ht="14.25" customHeight="1" outlineLevel="1">
      <c r="B63" s="255" t="s">
        <v>1714</v>
      </c>
      <c r="C63" s="256"/>
      <c r="D63" s="256"/>
      <c r="E63" s="257"/>
      <c r="F63" s="105">
        <f>1.46*3569.6*12</f>
        <v>62539.392</v>
      </c>
    </row>
    <row r="64" spans="2:6" ht="15" customHeight="1" outlineLevel="1">
      <c r="B64" s="255" t="s">
        <v>1715</v>
      </c>
      <c r="C64" s="256"/>
      <c r="D64" s="256"/>
      <c r="E64" s="257"/>
      <c r="F64" s="105">
        <f>F65+F66+F67+F68+F69+F70+F71+F72+F73+F74</f>
        <v>8483.41</v>
      </c>
    </row>
    <row r="65" spans="2:7" ht="15" outlineLevel="2">
      <c r="B65" s="42"/>
      <c r="C65" s="82" t="s">
        <v>66</v>
      </c>
      <c r="D65" s="82" t="s">
        <v>1577</v>
      </c>
      <c r="E65" s="82" t="s">
        <v>2179</v>
      </c>
      <c r="F65" s="106">
        <v>2164</v>
      </c>
      <c r="G65" s="14"/>
    </row>
    <row r="66" spans="2:7" ht="15" outlineLevel="2">
      <c r="B66" s="42"/>
      <c r="C66" s="83" t="s">
        <v>322</v>
      </c>
      <c r="D66" s="83" t="s">
        <v>1579</v>
      </c>
      <c r="E66" s="83" t="s">
        <v>2179</v>
      </c>
      <c r="F66" s="106">
        <v>3064</v>
      </c>
      <c r="G66" s="14"/>
    </row>
    <row r="67" spans="2:7" ht="15" outlineLevel="2">
      <c r="B67" s="42"/>
      <c r="C67" s="83" t="s">
        <v>2</v>
      </c>
      <c r="D67" s="83" t="s">
        <v>1579</v>
      </c>
      <c r="E67" s="83" t="s">
        <v>1495</v>
      </c>
      <c r="F67" s="106">
        <v>212</v>
      </c>
      <c r="G67" s="14"/>
    </row>
    <row r="68" spans="2:7" ht="15" outlineLevel="2">
      <c r="B68" s="42"/>
      <c r="C68" s="83" t="s">
        <v>139</v>
      </c>
      <c r="D68" s="83" t="s">
        <v>1580</v>
      </c>
      <c r="E68" s="83" t="s">
        <v>2233</v>
      </c>
      <c r="F68" s="106">
        <v>578.08</v>
      </c>
      <c r="G68" s="14"/>
    </row>
    <row r="69" spans="2:7" ht="15" outlineLevel="2">
      <c r="B69" s="42"/>
      <c r="C69" s="83" t="s">
        <v>1632</v>
      </c>
      <c r="D69" s="83" t="s">
        <v>1585</v>
      </c>
      <c r="E69" s="83" t="s">
        <v>110</v>
      </c>
      <c r="F69" s="106">
        <v>572.52</v>
      </c>
      <c r="G69" s="14"/>
    </row>
    <row r="70" spans="2:7" ht="15" outlineLevel="2">
      <c r="B70" s="42"/>
      <c r="C70" s="83" t="s">
        <v>541</v>
      </c>
      <c r="D70" s="83" t="s">
        <v>1586</v>
      </c>
      <c r="E70" s="83" t="s">
        <v>1005</v>
      </c>
      <c r="F70" s="106">
        <v>198</v>
      </c>
      <c r="G70" s="14"/>
    </row>
    <row r="71" spans="2:7" ht="15" outlineLevel="2">
      <c r="B71" s="42"/>
      <c r="C71" s="83" t="s">
        <v>206</v>
      </c>
      <c r="D71" s="83" t="s">
        <v>1587</v>
      </c>
      <c r="E71" s="83" t="s">
        <v>207</v>
      </c>
      <c r="F71" s="106">
        <v>278.3</v>
      </c>
      <c r="G71" s="14"/>
    </row>
    <row r="72" spans="2:7" ht="15" outlineLevel="2">
      <c r="B72" s="42"/>
      <c r="C72" s="83" t="s">
        <v>804</v>
      </c>
      <c r="D72" s="83" t="s">
        <v>1587</v>
      </c>
      <c r="E72" s="83" t="s">
        <v>803</v>
      </c>
      <c r="F72" s="106">
        <v>79.9</v>
      </c>
      <c r="G72" s="14"/>
    </row>
    <row r="73" spans="2:7" ht="15" outlineLevel="2">
      <c r="B73" s="42"/>
      <c r="C73" s="83" t="s">
        <v>1958</v>
      </c>
      <c r="D73" s="83" t="s">
        <v>1588</v>
      </c>
      <c r="E73" s="83" t="s">
        <v>1960</v>
      </c>
      <c r="F73" s="106">
        <v>476.51</v>
      </c>
      <c r="G73" s="14"/>
    </row>
    <row r="74" spans="2:7" ht="15" outlineLevel="2">
      <c r="B74" s="42"/>
      <c r="C74" s="83" t="s">
        <v>1899</v>
      </c>
      <c r="D74" s="83" t="s">
        <v>1588</v>
      </c>
      <c r="E74" s="83" t="s">
        <v>1291</v>
      </c>
      <c r="F74" s="106">
        <v>860.1</v>
      </c>
      <c r="G74" s="14"/>
    </row>
    <row r="75" spans="2:6" ht="14.25" customHeight="1" outlineLevel="1">
      <c r="B75" s="255" t="s">
        <v>1716</v>
      </c>
      <c r="C75" s="256"/>
      <c r="D75" s="256"/>
      <c r="E75" s="257"/>
      <c r="F75" s="105">
        <f>SUM(F76:F76)</f>
        <v>3994.11</v>
      </c>
    </row>
    <row r="76" spans="2:7" ht="15" outlineLevel="2">
      <c r="B76" s="42"/>
      <c r="C76" s="83" t="s">
        <v>1164</v>
      </c>
      <c r="D76" s="83" t="s">
        <v>1583</v>
      </c>
      <c r="E76" s="83" t="s">
        <v>233</v>
      </c>
      <c r="F76" s="106">
        <v>3994.11</v>
      </c>
      <c r="G76" s="14"/>
    </row>
    <row r="77" spans="2:6" ht="15" customHeight="1" outlineLevel="1">
      <c r="B77" s="255" t="s">
        <v>1717</v>
      </c>
      <c r="C77" s="256"/>
      <c r="D77" s="256"/>
      <c r="E77" s="257"/>
      <c r="F77" s="105">
        <f>SUM(F78:F79)</f>
        <v>346.69</v>
      </c>
    </row>
    <row r="78" spans="2:7" ht="15" outlineLevel="2">
      <c r="B78" s="42"/>
      <c r="C78" s="83" t="s">
        <v>2</v>
      </c>
      <c r="D78" s="83" t="s">
        <v>1581</v>
      </c>
      <c r="E78" s="83" t="s">
        <v>943</v>
      </c>
      <c r="F78" s="106">
        <v>166.69</v>
      </c>
      <c r="G78" s="14"/>
    </row>
    <row r="79" spans="2:7" ht="15" outlineLevel="2">
      <c r="B79" s="42"/>
      <c r="C79" s="83" t="s">
        <v>2</v>
      </c>
      <c r="D79" s="83" t="s">
        <v>1587</v>
      </c>
      <c r="E79" s="83" t="s">
        <v>942</v>
      </c>
      <c r="F79" s="106">
        <v>180</v>
      </c>
      <c r="G79" s="14"/>
    </row>
    <row r="80" spans="2:6" ht="13.5" customHeight="1" outlineLevel="1">
      <c r="B80" s="255" t="s">
        <v>1595</v>
      </c>
      <c r="C80" s="256"/>
      <c r="D80" s="256"/>
      <c r="E80" s="257"/>
      <c r="F80" s="105">
        <f>SUM(F81:F88)</f>
        <v>5036.04</v>
      </c>
    </row>
    <row r="81" spans="2:7" ht="30" outlineLevel="2">
      <c r="B81" s="42"/>
      <c r="C81" s="82" t="s">
        <v>5</v>
      </c>
      <c r="D81" s="82" t="s">
        <v>1577</v>
      </c>
      <c r="E81" s="82" t="s">
        <v>390</v>
      </c>
      <c r="F81" s="106">
        <v>849.3</v>
      </c>
      <c r="G81" s="14"/>
    </row>
    <row r="82" spans="2:7" ht="21" customHeight="1" outlineLevel="2">
      <c r="B82" s="42"/>
      <c r="C82" s="83" t="s">
        <v>1061</v>
      </c>
      <c r="D82" s="83" t="s">
        <v>1578</v>
      </c>
      <c r="E82" s="83" t="s">
        <v>2079</v>
      </c>
      <c r="F82" s="106">
        <v>305.44</v>
      </c>
      <c r="G82" s="14"/>
    </row>
    <row r="83" spans="2:7" ht="15" outlineLevel="2">
      <c r="B83" s="42"/>
      <c r="C83" s="83" t="s">
        <v>323</v>
      </c>
      <c r="D83" s="83" t="s">
        <v>1579</v>
      </c>
      <c r="E83" s="83" t="s">
        <v>420</v>
      </c>
      <c r="F83" s="106">
        <v>257.25</v>
      </c>
      <c r="G83" s="14"/>
    </row>
    <row r="84" spans="2:7" ht="15" outlineLevel="2">
      <c r="B84" s="42"/>
      <c r="C84" s="83" t="s">
        <v>1253</v>
      </c>
      <c r="D84" s="83" t="s">
        <v>1582</v>
      </c>
      <c r="E84" s="83" t="s">
        <v>1437</v>
      </c>
      <c r="F84" s="106">
        <v>395.59</v>
      </c>
      <c r="G84" s="14"/>
    </row>
    <row r="85" spans="2:7" ht="15" outlineLevel="2">
      <c r="B85" s="42"/>
      <c r="C85" s="83" t="s">
        <v>1255</v>
      </c>
      <c r="D85" s="83" t="s">
        <v>1582</v>
      </c>
      <c r="E85" s="83" t="s">
        <v>1612</v>
      </c>
      <c r="F85" s="106">
        <v>1286.62</v>
      </c>
      <c r="G85" s="14"/>
    </row>
    <row r="86" spans="2:7" ht="15" outlineLevel="2">
      <c r="B86" s="42"/>
      <c r="C86" s="83" t="s">
        <v>31</v>
      </c>
      <c r="D86" s="83" t="s">
        <v>1584</v>
      </c>
      <c r="E86" s="83" t="s">
        <v>632</v>
      </c>
      <c r="F86" s="106">
        <v>1251.43</v>
      </c>
      <c r="G86" s="14"/>
    </row>
    <row r="87" spans="2:7" ht="15" outlineLevel="2">
      <c r="B87" s="42"/>
      <c r="C87" s="83" t="s">
        <v>572</v>
      </c>
      <c r="D87" s="83" t="s">
        <v>1586</v>
      </c>
      <c r="E87" s="83" t="s">
        <v>571</v>
      </c>
      <c r="F87" s="106">
        <v>437.41</v>
      </c>
      <c r="G87" s="14"/>
    </row>
    <row r="88" spans="2:7" ht="17.25" customHeight="1" outlineLevel="2">
      <c r="B88" s="42"/>
      <c r="C88" s="83" t="s">
        <v>980</v>
      </c>
      <c r="D88" s="83" t="s">
        <v>1588</v>
      </c>
      <c r="E88" s="83" t="s">
        <v>981</v>
      </c>
      <c r="F88" s="106">
        <v>253</v>
      </c>
      <c r="G88" s="14"/>
    </row>
    <row r="89" spans="2:6" ht="13.5" customHeight="1" outlineLevel="1">
      <c r="B89" s="317" t="s">
        <v>1718</v>
      </c>
      <c r="C89" s="318"/>
      <c r="D89" s="318"/>
      <c r="E89" s="319"/>
      <c r="F89" s="105">
        <f>SUM(F90:F94)</f>
        <v>4185.53</v>
      </c>
    </row>
    <row r="90" spans="2:7" ht="15" outlineLevel="2">
      <c r="B90" s="42"/>
      <c r="C90" s="82" t="s">
        <v>2189</v>
      </c>
      <c r="D90" s="82" t="s">
        <v>1577</v>
      </c>
      <c r="E90" s="82" t="s">
        <v>1535</v>
      </c>
      <c r="F90" s="106">
        <v>299.74</v>
      </c>
      <c r="G90" s="14"/>
    </row>
    <row r="91" spans="2:7" ht="15" outlineLevel="2">
      <c r="B91" s="42"/>
      <c r="C91" s="83" t="s">
        <v>2</v>
      </c>
      <c r="D91" s="83" t="s">
        <v>1577</v>
      </c>
      <c r="E91" s="83" t="s">
        <v>1897</v>
      </c>
      <c r="F91" s="106">
        <v>1838.06</v>
      </c>
      <c r="G91" s="14"/>
    </row>
    <row r="92" spans="2:7" ht="15" outlineLevel="2">
      <c r="B92" s="42"/>
      <c r="C92" s="83" t="s">
        <v>2</v>
      </c>
      <c r="D92" s="83" t="s">
        <v>57</v>
      </c>
      <c r="E92" s="83" t="s">
        <v>721</v>
      </c>
      <c r="F92" s="106">
        <v>120.73</v>
      </c>
      <c r="G92" s="14"/>
    </row>
    <row r="93" spans="2:7" ht="15" outlineLevel="2">
      <c r="B93" s="42"/>
      <c r="C93" s="83" t="s">
        <v>2</v>
      </c>
      <c r="D93" s="83" t="s">
        <v>1581</v>
      </c>
      <c r="E93" s="83" t="s">
        <v>2390</v>
      </c>
      <c r="F93" s="106">
        <v>1792.6</v>
      </c>
      <c r="G93" s="14"/>
    </row>
    <row r="94" spans="2:7" ht="15" outlineLevel="2">
      <c r="B94" s="42"/>
      <c r="C94" s="84" t="s">
        <v>2</v>
      </c>
      <c r="D94" s="84" t="s">
        <v>57</v>
      </c>
      <c r="E94" s="84" t="s">
        <v>936</v>
      </c>
      <c r="F94" s="106">
        <v>134.4</v>
      </c>
      <c r="G94" s="14"/>
    </row>
    <row r="95" spans="2:7" ht="14.25" customHeight="1" outlineLevel="2">
      <c r="B95" s="255" t="s">
        <v>0</v>
      </c>
      <c r="C95" s="256"/>
      <c r="D95" s="256"/>
      <c r="E95" s="257"/>
      <c r="F95" s="105">
        <f>0.1*3569.6*12</f>
        <v>4283.52</v>
      </c>
      <c r="G95" s="14"/>
    </row>
    <row r="96" spans="2:7" ht="14.25" customHeight="1" outlineLevel="2">
      <c r="B96" s="255" t="s">
        <v>1369</v>
      </c>
      <c r="C96" s="256"/>
      <c r="D96" s="256"/>
      <c r="E96" s="257"/>
      <c r="F96" s="105">
        <v>3166.66</v>
      </c>
      <c r="G96" s="14"/>
    </row>
    <row r="97" spans="2:7" ht="15">
      <c r="B97" s="42"/>
      <c r="C97" s="273" t="s">
        <v>255</v>
      </c>
      <c r="D97" s="273"/>
      <c r="E97" s="273"/>
      <c r="F97" s="43">
        <f>0.94*3569.6*12</f>
        <v>40265.087999999996</v>
      </c>
      <c r="G97" s="26"/>
    </row>
    <row r="98" spans="2:7" ht="15">
      <c r="B98" s="42"/>
      <c r="C98" s="270" t="s">
        <v>59</v>
      </c>
      <c r="D98" s="270"/>
      <c r="E98" s="270"/>
      <c r="F98" s="43">
        <f>1.57*3569.6*12</f>
        <v>67251.264</v>
      </c>
      <c r="G98" s="14"/>
    </row>
    <row r="99" spans="2:7" ht="15">
      <c r="B99" s="42"/>
      <c r="C99" s="270" t="s">
        <v>256</v>
      </c>
      <c r="D99" s="270"/>
      <c r="E99" s="270"/>
      <c r="F99" s="43">
        <f>10.3*(F101+F102)/100</f>
        <v>93822.91630000001</v>
      </c>
      <c r="G99" s="14"/>
    </row>
    <row r="100" spans="2:6" ht="15">
      <c r="B100" s="42">
        <v>1</v>
      </c>
      <c r="C100" s="272" t="s">
        <v>659</v>
      </c>
      <c r="D100" s="272"/>
      <c r="E100" s="272"/>
      <c r="F100" s="44">
        <f>F99+F98+F97+F11+F3</f>
        <v>662351.8103</v>
      </c>
    </row>
    <row r="101" spans="2:7" ht="15">
      <c r="B101" s="42">
        <v>2</v>
      </c>
      <c r="C101" s="270" t="s">
        <v>258</v>
      </c>
      <c r="D101" s="270"/>
      <c r="E101" s="270"/>
      <c r="F101" s="43">
        <v>800335.71</v>
      </c>
      <c r="G101" s="14"/>
    </row>
    <row r="102" spans="2:6" ht="15">
      <c r="B102" s="42">
        <v>3</v>
      </c>
      <c r="C102" s="270" t="s">
        <v>259</v>
      </c>
      <c r="D102" s="270"/>
      <c r="E102" s="270"/>
      <c r="F102" s="43">
        <v>110566.39</v>
      </c>
    </row>
    <row r="103" spans="2:6" ht="15">
      <c r="B103" s="42">
        <v>4</v>
      </c>
      <c r="C103" s="270" t="s">
        <v>660</v>
      </c>
      <c r="D103" s="270"/>
      <c r="E103" s="270"/>
      <c r="F103" s="43">
        <v>2511956.14</v>
      </c>
    </row>
    <row r="104" spans="2:6" ht="15">
      <c r="B104" s="42">
        <v>5</v>
      </c>
      <c r="C104" s="270" t="s">
        <v>2340</v>
      </c>
      <c r="D104" s="270"/>
      <c r="E104" s="270"/>
      <c r="F104" s="43">
        <v>1886595.87</v>
      </c>
    </row>
    <row r="105" spans="2:6" ht="15">
      <c r="B105" s="42">
        <v>6</v>
      </c>
      <c r="C105" s="272" t="s">
        <v>2341</v>
      </c>
      <c r="D105" s="272"/>
      <c r="E105" s="272"/>
      <c r="F105" s="44">
        <f>'[5]Комсомольский 26'!$E$101+F100</f>
        <v>2534256.6103</v>
      </c>
    </row>
    <row r="106" spans="2:6" ht="15">
      <c r="B106" s="42">
        <v>7</v>
      </c>
      <c r="C106" s="270" t="s">
        <v>732</v>
      </c>
      <c r="D106" s="270"/>
      <c r="E106" s="270"/>
      <c r="F106" s="43">
        <v>347750.5</v>
      </c>
    </row>
    <row r="107" spans="2:6" ht="15">
      <c r="B107" s="42">
        <v>8</v>
      </c>
      <c r="C107" s="270" t="s">
        <v>733</v>
      </c>
      <c r="D107" s="270"/>
      <c r="E107" s="270"/>
      <c r="F107" s="43">
        <v>261154.3</v>
      </c>
    </row>
    <row r="108" spans="2:6" ht="15">
      <c r="B108" s="42">
        <v>9</v>
      </c>
      <c r="C108" s="272" t="s">
        <v>734</v>
      </c>
      <c r="D108" s="272"/>
      <c r="E108" s="272"/>
      <c r="F108" s="44">
        <v>0</v>
      </c>
    </row>
    <row r="109" spans="2:6" ht="15">
      <c r="B109" s="42">
        <v>10</v>
      </c>
      <c r="C109" s="270" t="s">
        <v>260</v>
      </c>
      <c r="D109" s="270"/>
      <c r="E109" s="270"/>
      <c r="F109" s="43">
        <v>654166.12</v>
      </c>
    </row>
    <row r="110" spans="2:6" ht="15">
      <c r="B110" s="42">
        <v>11</v>
      </c>
      <c r="C110" s="270" t="s">
        <v>735</v>
      </c>
      <c r="D110" s="270"/>
      <c r="E110" s="270"/>
      <c r="F110" s="43">
        <v>90373.06</v>
      </c>
    </row>
    <row r="111" spans="2:6" ht="15">
      <c r="B111" s="42">
        <v>12</v>
      </c>
      <c r="C111" s="272" t="s">
        <v>736</v>
      </c>
      <c r="D111" s="272"/>
      <c r="E111" s="272"/>
      <c r="F111" s="44">
        <v>0</v>
      </c>
    </row>
    <row r="112" spans="2:6" ht="20.25" customHeight="1">
      <c r="B112" s="42">
        <v>13</v>
      </c>
      <c r="C112" s="271" t="s">
        <v>2271</v>
      </c>
      <c r="D112" s="271"/>
      <c r="E112" s="271"/>
      <c r="F112" s="45">
        <f>F103-F105</f>
        <v>-22300.470299999695</v>
      </c>
    </row>
    <row r="113" spans="2:6" ht="20.25" customHeight="1">
      <c r="B113" s="42">
        <v>14</v>
      </c>
      <c r="C113" s="271" t="s">
        <v>1844</v>
      </c>
      <c r="D113" s="271"/>
      <c r="E113" s="271"/>
      <c r="F113" s="45">
        <f>F106-F108</f>
        <v>347750.5</v>
      </c>
    </row>
    <row r="114" spans="2:6" ht="27.75" customHeight="1">
      <c r="B114" s="42">
        <v>15</v>
      </c>
      <c r="C114" s="271" t="s">
        <v>2273</v>
      </c>
      <c r="D114" s="271"/>
      <c r="E114" s="271"/>
      <c r="F114" s="45">
        <f>F104-F105</f>
        <v>-647660.7402999997</v>
      </c>
    </row>
    <row r="115" ht="12.75">
      <c r="F115" s="39"/>
    </row>
    <row r="116" spans="2:6" ht="63.75">
      <c r="B116" s="12" t="s">
        <v>492</v>
      </c>
      <c r="F116" s="39"/>
    </row>
    <row r="117" spans="2:6" ht="51">
      <c r="B117" s="12" t="s">
        <v>493</v>
      </c>
      <c r="F117" s="39"/>
    </row>
    <row r="118" spans="2:6" ht="114.75">
      <c r="B118" s="12" t="s">
        <v>494</v>
      </c>
      <c r="F118" s="39"/>
    </row>
    <row r="119" spans="2:6" ht="63.75">
      <c r="B119" s="12" t="s">
        <v>495</v>
      </c>
      <c r="F119" s="39"/>
    </row>
  </sheetData>
  <sheetProtection/>
  <mergeCells count="38">
    <mergeCell ref="C112:E112"/>
    <mergeCell ref="C101:E101"/>
    <mergeCell ref="B50:E50"/>
    <mergeCell ref="B12:E12"/>
    <mergeCell ref="B17:E17"/>
    <mergeCell ref="C105:E105"/>
    <mergeCell ref="C111:E111"/>
    <mergeCell ref="C99:E99"/>
    <mergeCell ref="C110:E110"/>
    <mergeCell ref="C100:E100"/>
    <mergeCell ref="C102:E102"/>
    <mergeCell ref="C104:E104"/>
    <mergeCell ref="B1:F1"/>
    <mergeCell ref="B4:E4"/>
    <mergeCell ref="B6:E6"/>
    <mergeCell ref="B8:E8"/>
    <mergeCell ref="C3:D3"/>
    <mergeCell ref="C11:D11"/>
    <mergeCell ref="B25:E25"/>
    <mergeCell ref="B33:E33"/>
    <mergeCell ref="C114:E114"/>
    <mergeCell ref="C106:E106"/>
    <mergeCell ref="C107:E107"/>
    <mergeCell ref="C108:E108"/>
    <mergeCell ref="C109:E109"/>
    <mergeCell ref="B63:E63"/>
    <mergeCell ref="B64:E64"/>
    <mergeCell ref="B77:E77"/>
    <mergeCell ref="C103:E103"/>
    <mergeCell ref="C113:E113"/>
    <mergeCell ref="B45:E45"/>
    <mergeCell ref="B75:E75"/>
    <mergeCell ref="C97:E97"/>
    <mergeCell ref="C98:E98"/>
    <mergeCell ref="B80:E80"/>
    <mergeCell ref="B89:E89"/>
    <mergeCell ref="B95:E95"/>
    <mergeCell ref="B96:E96"/>
  </mergeCells>
  <printOptions/>
  <pageMargins left="0.28" right="0.16" top="0.22" bottom="0.25" header="0.17" footer="0.17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99"/>
  <sheetViews>
    <sheetView zoomScalePageLayoutView="0" workbookViewId="0" topLeftCell="A48">
      <selection activeCell="E94" sqref="A1:E94"/>
    </sheetView>
  </sheetViews>
  <sheetFormatPr defaultColWidth="13.421875" defaultRowHeight="12.75" outlineLevelRow="2"/>
  <cols>
    <col min="1" max="1" width="3.00390625" style="1" customWidth="1"/>
    <col min="2" max="2" width="9.7109375" style="1" customWidth="1"/>
    <col min="3" max="3" width="10.421875" style="1" customWidth="1"/>
    <col min="4" max="4" width="76.574218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315" t="s">
        <v>1870</v>
      </c>
      <c r="B1" s="315"/>
      <c r="C1" s="315"/>
      <c r="D1" s="315"/>
      <c r="E1" s="316"/>
    </row>
    <row r="2" spans="1:6" ht="30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5">
      <c r="A3" s="136"/>
      <c r="B3" s="308"/>
      <c r="C3" s="308"/>
      <c r="D3" s="190" t="s">
        <v>1575</v>
      </c>
      <c r="E3" s="130">
        <f>E4</f>
        <v>32082</v>
      </c>
    </row>
    <row r="4" spans="1:5" ht="13.5" customHeight="1" outlineLevel="1">
      <c r="A4" s="255" t="s">
        <v>1589</v>
      </c>
      <c r="B4" s="256"/>
      <c r="C4" s="256"/>
      <c r="D4" s="257"/>
      <c r="E4" s="105">
        <f>SUM(E5:E5)</f>
        <v>32082</v>
      </c>
    </row>
    <row r="5" spans="1:6" ht="15" outlineLevel="2">
      <c r="A5" s="81"/>
      <c r="B5" s="82" t="s">
        <v>1407</v>
      </c>
      <c r="C5" s="82" t="s">
        <v>1577</v>
      </c>
      <c r="D5" s="82" t="s">
        <v>1408</v>
      </c>
      <c r="E5" s="106">
        <v>32082</v>
      </c>
      <c r="F5" s="14"/>
    </row>
    <row r="6" spans="1:5" ht="13.5" customHeight="1">
      <c r="A6" s="115"/>
      <c r="B6" s="309"/>
      <c r="C6" s="309"/>
      <c r="D6" s="142" t="s">
        <v>1600</v>
      </c>
      <c r="E6" s="130">
        <f>E7+E14+E18+E28+E33+E36+E39+E52+E53+E60+E62+E68+E75+E76</f>
        <v>224235.02000000002</v>
      </c>
    </row>
    <row r="7" spans="1:5" ht="15" customHeight="1" outlineLevel="1">
      <c r="A7" s="255" t="s">
        <v>1576</v>
      </c>
      <c r="B7" s="256"/>
      <c r="C7" s="256"/>
      <c r="D7" s="257"/>
      <c r="E7" s="105">
        <f>SUM(E8:E13)</f>
        <v>2782.69</v>
      </c>
    </row>
    <row r="8" spans="1:6" ht="15" outlineLevel="2">
      <c r="A8" s="42"/>
      <c r="B8" s="83" t="s">
        <v>2</v>
      </c>
      <c r="C8" s="83" t="s">
        <v>1580</v>
      </c>
      <c r="D8" s="83" t="s">
        <v>2277</v>
      </c>
      <c r="E8" s="106">
        <v>59.95</v>
      </c>
      <c r="F8" s="14"/>
    </row>
    <row r="9" spans="1:6" ht="15" outlineLevel="2">
      <c r="A9" s="42"/>
      <c r="B9" s="83" t="s">
        <v>1708</v>
      </c>
      <c r="C9" s="83" t="s">
        <v>1581</v>
      </c>
      <c r="D9" s="83" t="s">
        <v>1236</v>
      </c>
      <c r="E9" s="106">
        <v>547.85</v>
      </c>
      <c r="F9" s="14"/>
    </row>
    <row r="10" spans="1:6" ht="15" outlineLevel="2">
      <c r="A10" s="42"/>
      <c r="B10" s="83" t="s">
        <v>1689</v>
      </c>
      <c r="C10" s="83" t="s">
        <v>1582</v>
      </c>
      <c r="D10" s="83" t="s">
        <v>305</v>
      </c>
      <c r="E10" s="106">
        <v>798.7</v>
      </c>
      <c r="F10" s="14"/>
    </row>
    <row r="11" spans="1:6" ht="27" customHeight="1" outlineLevel="2">
      <c r="A11" s="42"/>
      <c r="B11" s="83" t="s">
        <v>508</v>
      </c>
      <c r="C11" s="83" t="s">
        <v>1582</v>
      </c>
      <c r="D11" s="83" t="s">
        <v>509</v>
      </c>
      <c r="E11" s="106">
        <v>219.12</v>
      </c>
      <c r="F11" s="14"/>
    </row>
    <row r="12" spans="1:6" ht="15" outlineLevel="2">
      <c r="A12" s="42"/>
      <c r="B12" s="83" t="s">
        <v>1033</v>
      </c>
      <c r="C12" s="83" t="s">
        <v>1583</v>
      </c>
      <c r="D12" s="83" t="s">
        <v>509</v>
      </c>
      <c r="E12" s="106">
        <v>1076.92</v>
      </c>
      <c r="F12" s="14"/>
    </row>
    <row r="13" spans="1:6" ht="15" outlineLevel="2">
      <c r="A13" s="42"/>
      <c r="B13" s="83" t="s">
        <v>2</v>
      </c>
      <c r="C13" s="83" t="s">
        <v>1583</v>
      </c>
      <c r="D13" s="83" t="s">
        <v>855</v>
      </c>
      <c r="E13" s="106">
        <v>80.15</v>
      </c>
      <c r="F13" s="14"/>
    </row>
    <row r="14" spans="1:5" ht="12.75" customHeight="1" outlineLevel="1">
      <c r="A14" s="255" t="s">
        <v>1589</v>
      </c>
      <c r="B14" s="256"/>
      <c r="C14" s="256"/>
      <c r="D14" s="257"/>
      <c r="E14" s="105">
        <f>SUM(E15:E17)</f>
        <v>4704.79</v>
      </c>
    </row>
    <row r="15" spans="1:6" ht="30" outlineLevel="2">
      <c r="A15" s="42"/>
      <c r="B15" s="82" t="s">
        <v>126</v>
      </c>
      <c r="C15" s="82" t="s">
        <v>1577</v>
      </c>
      <c r="D15" s="82" t="s">
        <v>1460</v>
      </c>
      <c r="E15" s="106">
        <v>1113.1</v>
      </c>
      <c r="F15" s="14"/>
    </row>
    <row r="16" spans="1:6" ht="15" outlineLevel="2">
      <c r="A16" s="42"/>
      <c r="B16" s="83" t="s">
        <v>42</v>
      </c>
      <c r="C16" s="83" t="s">
        <v>1583</v>
      </c>
      <c r="D16" s="83" t="s">
        <v>159</v>
      </c>
      <c r="E16" s="106">
        <v>3420.69</v>
      </c>
      <c r="F16" s="14"/>
    </row>
    <row r="17" spans="1:6" ht="15" outlineLevel="2">
      <c r="A17" s="42"/>
      <c r="B17" s="83" t="s">
        <v>2474</v>
      </c>
      <c r="C17" s="83" t="s">
        <v>1585</v>
      </c>
      <c r="D17" s="83" t="s">
        <v>2475</v>
      </c>
      <c r="E17" s="106">
        <v>171</v>
      </c>
      <c r="F17" s="14"/>
    </row>
    <row r="18" spans="1:5" ht="14.25" customHeight="1" outlineLevel="1">
      <c r="A18" s="255" t="s">
        <v>1590</v>
      </c>
      <c r="B18" s="256"/>
      <c r="C18" s="256"/>
      <c r="D18" s="257"/>
      <c r="E18" s="105">
        <f>SUM(E19:E27)</f>
        <v>52790.33</v>
      </c>
    </row>
    <row r="19" spans="1:6" ht="15" outlineLevel="2">
      <c r="A19" s="42"/>
      <c r="B19" s="88" t="s">
        <v>2</v>
      </c>
      <c r="C19" s="82" t="s">
        <v>1577</v>
      </c>
      <c r="D19" s="82" t="s">
        <v>1507</v>
      </c>
      <c r="E19" s="106">
        <v>100.31</v>
      </c>
      <c r="F19" s="14"/>
    </row>
    <row r="20" spans="1:6" ht="15" outlineLevel="2">
      <c r="A20" s="42"/>
      <c r="B20" s="87" t="s">
        <v>2429</v>
      </c>
      <c r="C20" s="83" t="s">
        <v>1578</v>
      </c>
      <c r="D20" s="83" t="s">
        <v>658</v>
      </c>
      <c r="E20" s="106">
        <v>1802.01</v>
      </c>
      <c r="F20" s="14"/>
    </row>
    <row r="21" spans="1:6" ht="15" outlineLevel="2">
      <c r="A21" s="42"/>
      <c r="B21" s="87" t="s">
        <v>226</v>
      </c>
      <c r="C21" s="83" t="s">
        <v>1581</v>
      </c>
      <c r="D21" s="83" t="s">
        <v>98</v>
      </c>
      <c r="E21" s="106">
        <v>43301.98</v>
      </c>
      <c r="F21" s="14"/>
    </row>
    <row r="22" spans="1:6" s="54" customFormat="1" ht="15" outlineLevel="2">
      <c r="A22" s="42"/>
      <c r="B22" s="87" t="s">
        <v>930</v>
      </c>
      <c r="C22" s="83" t="s">
        <v>1584</v>
      </c>
      <c r="D22" s="83" t="s">
        <v>700</v>
      </c>
      <c r="E22" s="106">
        <v>246.62</v>
      </c>
      <c r="F22" s="55"/>
    </row>
    <row r="23" spans="1:6" s="54" customFormat="1" ht="15" outlineLevel="2">
      <c r="A23" s="42"/>
      <c r="B23" s="87" t="s">
        <v>197</v>
      </c>
      <c r="C23" s="83" t="s">
        <v>1584</v>
      </c>
      <c r="D23" s="83" t="s">
        <v>760</v>
      </c>
      <c r="E23" s="106">
        <v>5627.7</v>
      </c>
      <c r="F23" s="55"/>
    </row>
    <row r="24" spans="1:6" ht="30" outlineLevel="2">
      <c r="A24" s="42"/>
      <c r="B24" s="87" t="s">
        <v>192</v>
      </c>
      <c r="C24" s="83" t="s">
        <v>1586</v>
      </c>
      <c r="D24" s="83" t="s">
        <v>783</v>
      </c>
      <c r="E24" s="106">
        <v>1470.65</v>
      </c>
      <c r="F24" s="14"/>
    </row>
    <row r="25" spans="1:6" ht="15" outlineLevel="2">
      <c r="A25" s="42"/>
      <c r="B25" s="87" t="s">
        <v>2</v>
      </c>
      <c r="C25" s="83" t="s">
        <v>1587</v>
      </c>
      <c r="D25" s="83" t="s">
        <v>1179</v>
      </c>
      <c r="E25" s="106">
        <v>45</v>
      </c>
      <c r="F25" s="14"/>
    </row>
    <row r="26" spans="1:6" ht="30" outlineLevel="2">
      <c r="A26" s="42"/>
      <c r="B26" s="87" t="s">
        <v>1199</v>
      </c>
      <c r="C26" s="83" t="s">
        <v>1587</v>
      </c>
      <c r="D26" s="83" t="s">
        <v>1179</v>
      </c>
      <c r="E26" s="106">
        <v>91.06</v>
      </c>
      <c r="F26" s="14"/>
    </row>
    <row r="27" spans="1:6" ht="15" outlineLevel="2">
      <c r="A27" s="42"/>
      <c r="B27" s="87" t="s">
        <v>1935</v>
      </c>
      <c r="C27" s="83" t="s">
        <v>1588</v>
      </c>
      <c r="D27" s="83" t="s">
        <v>1936</v>
      </c>
      <c r="E27" s="106">
        <v>105</v>
      </c>
      <c r="F27" s="14"/>
    </row>
    <row r="28" spans="1:5" ht="15" customHeight="1" outlineLevel="1">
      <c r="A28" s="255" t="s">
        <v>1591</v>
      </c>
      <c r="B28" s="256"/>
      <c r="C28" s="256"/>
      <c r="D28" s="257"/>
      <c r="E28" s="105">
        <f>SUM(E29:E32)</f>
        <v>4543.5599999999995</v>
      </c>
    </row>
    <row r="29" spans="1:6" ht="15" outlineLevel="2">
      <c r="A29" s="42"/>
      <c r="B29" s="87" t="s">
        <v>130</v>
      </c>
      <c r="C29" s="83" t="s">
        <v>1578</v>
      </c>
      <c r="D29" s="83" t="s">
        <v>411</v>
      </c>
      <c r="E29" s="106">
        <v>734.1</v>
      </c>
      <c r="F29" s="14"/>
    </row>
    <row r="30" spans="1:6" ht="15" outlineLevel="2">
      <c r="A30" s="42"/>
      <c r="B30" s="87" t="s">
        <v>484</v>
      </c>
      <c r="C30" s="83" t="s">
        <v>1580</v>
      </c>
      <c r="D30" s="83" t="s">
        <v>827</v>
      </c>
      <c r="E30" s="106">
        <v>1315.2</v>
      </c>
      <c r="F30" s="14"/>
    </row>
    <row r="31" spans="1:6" ht="15" outlineLevel="2">
      <c r="A31" s="42"/>
      <c r="B31" s="87" t="s">
        <v>93</v>
      </c>
      <c r="C31" s="83" t="s">
        <v>1580</v>
      </c>
      <c r="D31" s="83" t="s">
        <v>1398</v>
      </c>
      <c r="E31" s="106">
        <v>1155.28</v>
      </c>
      <c r="F31" s="14"/>
    </row>
    <row r="32" spans="1:6" ht="15" outlineLevel="2">
      <c r="A32" s="42"/>
      <c r="B32" s="87" t="s">
        <v>1515</v>
      </c>
      <c r="C32" s="83" t="s">
        <v>1582</v>
      </c>
      <c r="D32" s="83" t="s">
        <v>901</v>
      </c>
      <c r="E32" s="106">
        <v>1338.98</v>
      </c>
      <c r="F32" s="14"/>
    </row>
    <row r="33" spans="1:5" ht="12.75" customHeight="1" outlineLevel="1">
      <c r="A33" s="255" t="s">
        <v>1594</v>
      </c>
      <c r="B33" s="256"/>
      <c r="C33" s="256"/>
      <c r="D33" s="257"/>
      <c r="E33" s="105">
        <f>SUM(E34:E35)</f>
        <v>18230.8</v>
      </c>
    </row>
    <row r="34" spans="1:6" ht="15" outlineLevel="2">
      <c r="A34" s="42"/>
      <c r="B34" s="87" t="s">
        <v>1039</v>
      </c>
      <c r="C34" s="83" t="s">
        <v>1582</v>
      </c>
      <c r="D34" s="83" t="s">
        <v>1040</v>
      </c>
      <c r="E34" s="106">
        <v>8727.8</v>
      </c>
      <c r="F34" s="14"/>
    </row>
    <row r="35" spans="1:6" ht="15" outlineLevel="2">
      <c r="A35" s="42"/>
      <c r="B35" s="87" t="s">
        <v>1548</v>
      </c>
      <c r="C35" s="83" t="s">
        <v>1585</v>
      </c>
      <c r="D35" s="83" t="s">
        <v>1549</v>
      </c>
      <c r="E35" s="106">
        <v>9503</v>
      </c>
      <c r="F35" s="14"/>
    </row>
    <row r="36" spans="1:5" ht="15.75" customHeight="1" outlineLevel="1">
      <c r="A36" s="255" t="s">
        <v>1599</v>
      </c>
      <c r="B36" s="256"/>
      <c r="C36" s="256"/>
      <c r="D36" s="257"/>
      <c r="E36" s="105">
        <f>SUM(E37:E38)</f>
        <v>18069.96</v>
      </c>
    </row>
    <row r="37" spans="1:6" ht="15" outlineLevel="2">
      <c r="A37" s="42"/>
      <c r="B37" s="83" t="s">
        <v>2078</v>
      </c>
      <c r="C37" s="83" t="s">
        <v>1582</v>
      </c>
      <c r="D37" s="83" t="s">
        <v>1</v>
      </c>
      <c r="E37" s="106">
        <v>10741.54</v>
      </c>
      <c r="F37" s="14"/>
    </row>
    <row r="38" spans="1:6" ht="15" outlineLevel="2">
      <c r="A38" s="42"/>
      <c r="B38" s="83" t="s">
        <v>819</v>
      </c>
      <c r="C38" s="83" t="s">
        <v>1582</v>
      </c>
      <c r="D38" s="83" t="s">
        <v>1498</v>
      </c>
      <c r="E38" s="106">
        <v>7328.42</v>
      </c>
      <c r="F38" s="14"/>
    </row>
    <row r="39" spans="1:5" ht="12.75" customHeight="1" outlineLevel="1">
      <c r="A39" s="255" t="s">
        <v>1713</v>
      </c>
      <c r="B39" s="256"/>
      <c r="C39" s="256"/>
      <c r="D39" s="257"/>
      <c r="E39" s="105">
        <f>SUM(E40:E51)</f>
        <v>75982.83</v>
      </c>
    </row>
    <row r="40" spans="1:6" ht="15" outlineLevel="2">
      <c r="A40" s="42"/>
      <c r="B40" s="82"/>
      <c r="C40" s="82" t="s">
        <v>1577</v>
      </c>
      <c r="D40" s="82" t="s">
        <v>1496</v>
      </c>
      <c r="E40" s="106">
        <v>6446.34</v>
      </c>
      <c r="F40" s="14"/>
    </row>
    <row r="41" spans="1:6" ht="15" outlineLevel="2">
      <c r="A41" s="42"/>
      <c r="B41" s="83"/>
      <c r="C41" s="83" t="s">
        <v>1578</v>
      </c>
      <c r="D41" s="83" t="s">
        <v>1496</v>
      </c>
      <c r="E41" s="106">
        <v>6446.34</v>
      </c>
      <c r="F41" s="14"/>
    </row>
    <row r="42" spans="1:6" ht="15" outlineLevel="2">
      <c r="A42" s="42"/>
      <c r="B42" s="83"/>
      <c r="C42" s="83" t="s">
        <v>1579</v>
      </c>
      <c r="D42" s="83" t="s">
        <v>1496</v>
      </c>
      <c r="E42" s="106">
        <v>6446.34</v>
      </c>
      <c r="F42" s="14"/>
    </row>
    <row r="43" spans="1:6" ht="15" outlineLevel="2">
      <c r="A43" s="42"/>
      <c r="B43" s="83"/>
      <c r="C43" s="83" t="s">
        <v>1580</v>
      </c>
      <c r="D43" s="83" t="s">
        <v>1496</v>
      </c>
      <c r="E43" s="106">
        <v>6446.34</v>
      </c>
      <c r="F43" s="14"/>
    </row>
    <row r="44" spans="1:6" ht="15" outlineLevel="2">
      <c r="A44" s="42"/>
      <c r="B44" s="83"/>
      <c r="C44" s="83" t="s">
        <v>1581</v>
      </c>
      <c r="D44" s="83" t="s">
        <v>1496</v>
      </c>
      <c r="E44" s="106">
        <v>6171.69</v>
      </c>
      <c r="F44" s="14"/>
    </row>
    <row r="45" spans="1:6" ht="15" outlineLevel="2">
      <c r="A45" s="42"/>
      <c r="B45" s="83"/>
      <c r="C45" s="83" t="s">
        <v>1582</v>
      </c>
      <c r="D45" s="83" t="s">
        <v>1496</v>
      </c>
      <c r="E45" s="106">
        <v>6171.69</v>
      </c>
      <c r="F45" s="14"/>
    </row>
    <row r="46" spans="1:6" ht="15" outlineLevel="2">
      <c r="A46" s="42"/>
      <c r="B46" s="83"/>
      <c r="C46" s="83" t="s">
        <v>1583</v>
      </c>
      <c r="D46" s="83" t="s">
        <v>1496</v>
      </c>
      <c r="E46" s="106">
        <v>6171.69</v>
      </c>
      <c r="F46" s="14"/>
    </row>
    <row r="47" spans="1:6" ht="15" outlineLevel="2">
      <c r="A47" s="42"/>
      <c r="B47" s="83"/>
      <c r="C47" s="83" t="s">
        <v>1584</v>
      </c>
      <c r="D47" s="83" t="s">
        <v>1496</v>
      </c>
      <c r="E47" s="106">
        <v>6171.69</v>
      </c>
      <c r="F47" s="14"/>
    </row>
    <row r="48" spans="1:6" ht="15" outlineLevel="2">
      <c r="A48" s="42"/>
      <c r="B48" s="83"/>
      <c r="C48" s="83" t="s">
        <v>1585</v>
      </c>
      <c r="D48" s="83" t="s">
        <v>1496</v>
      </c>
      <c r="E48" s="106">
        <v>6171.69</v>
      </c>
      <c r="F48" s="14"/>
    </row>
    <row r="49" spans="1:6" ht="15" outlineLevel="2">
      <c r="A49" s="42"/>
      <c r="B49" s="83"/>
      <c r="C49" s="83" t="s">
        <v>1586</v>
      </c>
      <c r="D49" s="83" t="s">
        <v>1496</v>
      </c>
      <c r="E49" s="106">
        <v>6446.34</v>
      </c>
      <c r="F49" s="14"/>
    </row>
    <row r="50" spans="1:6" ht="15" outlineLevel="2">
      <c r="A50" s="42"/>
      <c r="B50" s="83"/>
      <c r="C50" s="83" t="s">
        <v>1587</v>
      </c>
      <c r="D50" s="83" t="s">
        <v>1496</v>
      </c>
      <c r="E50" s="106">
        <v>6446.34</v>
      </c>
      <c r="F50" s="14"/>
    </row>
    <row r="51" spans="1:6" ht="15" outlineLevel="2">
      <c r="A51" s="42"/>
      <c r="B51" s="89"/>
      <c r="C51" s="83" t="s">
        <v>1588</v>
      </c>
      <c r="D51" s="83" t="s">
        <v>1496</v>
      </c>
      <c r="E51" s="106">
        <v>6446.34</v>
      </c>
      <c r="F51" s="14"/>
    </row>
    <row r="52" spans="1:5" ht="12" customHeight="1" outlineLevel="1">
      <c r="A52" s="255" t="s">
        <v>1714</v>
      </c>
      <c r="B52" s="256"/>
      <c r="C52" s="256"/>
      <c r="D52" s="257"/>
      <c r="E52" s="105">
        <f>1.46*1821*12</f>
        <v>31903.92</v>
      </c>
    </row>
    <row r="53" spans="1:5" ht="12" customHeight="1" outlineLevel="1">
      <c r="A53" s="255" t="s">
        <v>1715</v>
      </c>
      <c r="B53" s="256"/>
      <c r="C53" s="256"/>
      <c r="D53" s="257"/>
      <c r="E53" s="105">
        <f>SUM(E54:E59)</f>
        <v>4109.85</v>
      </c>
    </row>
    <row r="54" spans="1:6" ht="15" outlineLevel="2">
      <c r="A54" s="42"/>
      <c r="B54" s="83" t="s">
        <v>1033</v>
      </c>
      <c r="C54" s="83" t="s">
        <v>1584</v>
      </c>
      <c r="D54" s="83" t="s">
        <v>762</v>
      </c>
      <c r="E54" s="106">
        <v>621.47</v>
      </c>
      <c r="F54" s="14"/>
    </row>
    <row r="55" spans="1:6" ht="15" outlineLevel="2">
      <c r="A55" s="42"/>
      <c r="B55" s="83" t="s">
        <v>1629</v>
      </c>
      <c r="C55" s="83" t="s">
        <v>1585</v>
      </c>
      <c r="D55" s="83" t="s">
        <v>110</v>
      </c>
      <c r="E55" s="106">
        <v>1319.85</v>
      </c>
      <c r="F55" s="14"/>
    </row>
    <row r="56" spans="1:6" ht="15" outlineLevel="2">
      <c r="A56" s="42"/>
      <c r="B56" s="83" t="s">
        <v>2378</v>
      </c>
      <c r="C56" s="83" t="s">
        <v>1586</v>
      </c>
      <c r="D56" s="83" t="s">
        <v>110</v>
      </c>
      <c r="E56" s="106">
        <v>1200.12</v>
      </c>
      <c r="F56" s="14"/>
    </row>
    <row r="57" spans="1:6" ht="15" outlineLevel="2">
      <c r="A57" s="42"/>
      <c r="B57" s="83" t="s">
        <v>206</v>
      </c>
      <c r="C57" s="83" t="s">
        <v>1587</v>
      </c>
      <c r="D57" s="83" t="s">
        <v>207</v>
      </c>
      <c r="E57" s="106">
        <v>278.3</v>
      </c>
      <c r="F57" s="14"/>
    </row>
    <row r="58" spans="1:6" ht="15" outlineLevel="2">
      <c r="A58" s="42"/>
      <c r="B58" s="83" t="s">
        <v>1958</v>
      </c>
      <c r="C58" s="83" t="s">
        <v>1588</v>
      </c>
      <c r="D58" s="83" t="s">
        <v>1960</v>
      </c>
      <c r="E58" s="106">
        <v>368.11</v>
      </c>
      <c r="F58" s="14"/>
    </row>
    <row r="59" spans="1:6" ht="15" outlineLevel="2">
      <c r="A59" s="42"/>
      <c r="B59" s="154" t="s">
        <v>1899</v>
      </c>
      <c r="C59" s="83" t="s">
        <v>1588</v>
      </c>
      <c r="D59" s="83" t="s">
        <v>1005</v>
      </c>
      <c r="E59" s="106">
        <v>322</v>
      </c>
      <c r="F59" s="14"/>
    </row>
    <row r="60" spans="1:5" ht="14.25" customHeight="1" outlineLevel="1">
      <c r="A60" s="255" t="s">
        <v>1716</v>
      </c>
      <c r="B60" s="256"/>
      <c r="C60" s="256"/>
      <c r="D60" s="257"/>
      <c r="E60" s="105">
        <f>SUM(E61:E61)</f>
        <v>1704.3</v>
      </c>
    </row>
    <row r="61" spans="1:6" ht="15" outlineLevel="2">
      <c r="A61" s="42"/>
      <c r="B61" s="83" t="s">
        <v>55</v>
      </c>
      <c r="C61" s="83" t="s">
        <v>1584</v>
      </c>
      <c r="D61" s="83" t="s">
        <v>933</v>
      </c>
      <c r="E61" s="106">
        <v>1704.3</v>
      </c>
      <c r="F61" s="14"/>
    </row>
    <row r="62" spans="1:5" ht="14.25" customHeight="1" outlineLevel="1">
      <c r="A62" s="255" t="s">
        <v>1595</v>
      </c>
      <c r="B62" s="256"/>
      <c r="C62" s="256"/>
      <c r="D62" s="257"/>
      <c r="E62" s="105">
        <f>SUM(E63:E67)</f>
        <v>1474.87</v>
      </c>
    </row>
    <row r="63" spans="1:6" ht="30" outlineLevel="2">
      <c r="A63" s="42"/>
      <c r="B63" s="82" t="s">
        <v>5</v>
      </c>
      <c r="C63" s="82" t="s">
        <v>1577</v>
      </c>
      <c r="D63" s="82" t="s">
        <v>2197</v>
      </c>
      <c r="E63" s="106">
        <v>203.1</v>
      </c>
      <c r="F63" s="14"/>
    </row>
    <row r="64" spans="1:6" ht="15" outlineLevel="2">
      <c r="A64" s="42"/>
      <c r="B64" s="83" t="s">
        <v>323</v>
      </c>
      <c r="C64" s="83" t="s">
        <v>1579</v>
      </c>
      <c r="D64" s="83" t="s">
        <v>415</v>
      </c>
      <c r="E64" s="106">
        <v>395.85</v>
      </c>
      <c r="F64" s="14"/>
    </row>
    <row r="65" spans="1:6" ht="15" outlineLevel="2">
      <c r="A65" s="42"/>
      <c r="B65" s="83" t="s">
        <v>1253</v>
      </c>
      <c r="C65" s="83" t="s">
        <v>1582</v>
      </c>
      <c r="D65" s="83" t="s">
        <v>1404</v>
      </c>
      <c r="E65" s="106">
        <v>507.33</v>
      </c>
      <c r="F65" s="14"/>
    </row>
    <row r="66" spans="1:6" ht="15" outlineLevel="2">
      <c r="A66" s="42"/>
      <c r="B66" s="83" t="s">
        <v>31</v>
      </c>
      <c r="C66" s="83" t="s">
        <v>1584</v>
      </c>
      <c r="D66" s="83" t="s">
        <v>1612</v>
      </c>
      <c r="E66" s="106">
        <v>275.59</v>
      </c>
      <c r="F66" s="14"/>
    </row>
    <row r="67" spans="1:6" ht="15" outlineLevel="2">
      <c r="A67" s="42"/>
      <c r="B67" s="83" t="s">
        <v>2380</v>
      </c>
      <c r="C67" s="83" t="s">
        <v>1586</v>
      </c>
      <c r="D67" s="83" t="s">
        <v>669</v>
      </c>
      <c r="E67" s="106">
        <v>93</v>
      </c>
      <c r="F67" s="14"/>
    </row>
    <row r="68" spans="1:5" ht="14.25" customHeight="1" outlineLevel="1">
      <c r="A68" s="255" t="s">
        <v>1718</v>
      </c>
      <c r="B68" s="256"/>
      <c r="C68" s="256"/>
      <c r="D68" s="257"/>
      <c r="E68" s="105">
        <f>SUM(E69:E74)</f>
        <v>2585.26</v>
      </c>
    </row>
    <row r="69" spans="1:6" ht="30" outlineLevel="2">
      <c r="A69" s="42"/>
      <c r="B69" s="82" t="s">
        <v>1720</v>
      </c>
      <c r="C69" s="82" t="s">
        <v>1577</v>
      </c>
      <c r="D69" s="82" t="s">
        <v>1535</v>
      </c>
      <c r="E69" s="106">
        <v>299.54</v>
      </c>
      <c r="F69" s="14"/>
    </row>
    <row r="70" spans="1:6" ht="15" outlineLevel="2">
      <c r="A70" s="42"/>
      <c r="B70" s="83" t="s">
        <v>2</v>
      </c>
      <c r="C70" s="83" t="s">
        <v>1577</v>
      </c>
      <c r="D70" s="83" t="s">
        <v>1897</v>
      </c>
      <c r="E70" s="106">
        <v>937.67</v>
      </c>
      <c r="F70" s="14"/>
    </row>
    <row r="71" spans="1:6" ht="15" outlineLevel="2">
      <c r="A71" s="42"/>
      <c r="B71" s="83" t="s">
        <v>2</v>
      </c>
      <c r="C71" s="83" t="s">
        <v>57</v>
      </c>
      <c r="D71" s="83" t="s">
        <v>721</v>
      </c>
      <c r="E71" s="106">
        <v>120.73</v>
      </c>
      <c r="F71" s="14"/>
    </row>
    <row r="72" spans="1:6" ht="15" outlineLevel="2">
      <c r="A72" s="42"/>
      <c r="B72" s="83" t="s">
        <v>2</v>
      </c>
      <c r="C72" s="83" t="s">
        <v>1581</v>
      </c>
      <c r="D72" s="83" t="s">
        <v>2390</v>
      </c>
      <c r="E72" s="106">
        <v>903.88</v>
      </c>
      <c r="F72" s="14"/>
    </row>
    <row r="73" spans="1:6" ht="15" outlineLevel="2">
      <c r="A73" s="42"/>
      <c r="B73" s="83" t="s">
        <v>2</v>
      </c>
      <c r="C73" s="83" t="s">
        <v>57</v>
      </c>
      <c r="D73" s="83" t="s">
        <v>936</v>
      </c>
      <c r="E73" s="106">
        <v>134.4</v>
      </c>
      <c r="F73" s="14"/>
    </row>
    <row r="74" spans="1:6" ht="15" outlineLevel="2">
      <c r="A74" s="42"/>
      <c r="B74" s="137" t="s">
        <v>977</v>
      </c>
      <c r="C74" s="84" t="s">
        <v>1588</v>
      </c>
      <c r="D74" s="138" t="s">
        <v>978</v>
      </c>
      <c r="E74" s="106">
        <v>189.04</v>
      </c>
      <c r="F74" s="14"/>
    </row>
    <row r="75" spans="1:6" ht="12" customHeight="1" outlineLevel="2">
      <c r="A75" s="255" t="s">
        <v>0</v>
      </c>
      <c r="B75" s="256"/>
      <c r="C75" s="256"/>
      <c r="D75" s="257"/>
      <c r="E75" s="105">
        <f>0.1*1821*12</f>
        <v>2185.2000000000003</v>
      </c>
      <c r="F75" s="14"/>
    </row>
    <row r="76" spans="1:6" ht="13.5" customHeight="1" outlineLevel="2">
      <c r="A76" s="255" t="s">
        <v>1369</v>
      </c>
      <c r="B76" s="256"/>
      <c r="C76" s="256"/>
      <c r="D76" s="257"/>
      <c r="E76" s="105">
        <v>3166.66</v>
      </c>
      <c r="F76" s="14"/>
    </row>
    <row r="77" spans="1:6" ht="15">
      <c r="A77" s="42"/>
      <c r="B77" s="273" t="s">
        <v>255</v>
      </c>
      <c r="C77" s="273"/>
      <c r="D77" s="273"/>
      <c r="E77" s="43">
        <f>0.94*1821*12</f>
        <v>20540.88</v>
      </c>
      <c r="F77" s="26"/>
    </row>
    <row r="78" spans="1:6" ht="15">
      <c r="A78" s="42"/>
      <c r="B78" s="270" t="s">
        <v>59</v>
      </c>
      <c r="C78" s="270"/>
      <c r="D78" s="270"/>
      <c r="E78" s="43">
        <f>1.57*1821*12</f>
        <v>34307.64</v>
      </c>
      <c r="F78" s="14"/>
    </row>
    <row r="79" spans="1:6" ht="15">
      <c r="A79" s="42"/>
      <c r="B79" s="270" t="s">
        <v>256</v>
      </c>
      <c r="C79" s="270"/>
      <c r="D79" s="270"/>
      <c r="E79" s="43">
        <f>10.3*(E81+E82)/100</f>
        <v>48278.85216000001</v>
      </c>
      <c r="F79" s="14"/>
    </row>
    <row r="80" spans="1:5" ht="15">
      <c r="A80" s="42">
        <v>1</v>
      </c>
      <c r="B80" s="272" t="s">
        <v>659</v>
      </c>
      <c r="C80" s="272"/>
      <c r="D80" s="272"/>
      <c r="E80" s="44">
        <f>E79+E78+E77+E6+E3</f>
        <v>359444.39216000005</v>
      </c>
    </row>
    <row r="81" spans="1:6" ht="15">
      <c r="A81" s="42">
        <v>2</v>
      </c>
      <c r="B81" s="270" t="s">
        <v>258</v>
      </c>
      <c r="C81" s="270"/>
      <c r="D81" s="270"/>
      <c r="E81" s="43">
        <v>411911.52</v>
      </c>
      <c r="F81" s="14"/>
    </row>
    <row r="82" spans="1:5" ht="15">
      <c r="A82" s="42">
        <v>3</v>
      </c>
      <c r="B82" s="270" t="s">
        <v>259</v>
      </c>
      <c r="C82" s="270"/>
      <c r="D82" s="270"/>
      <c r="E82" s="43">
        <v>56815.2</v>
      </c>
    </row>
    <row r="83" spans="1:5" ht="15">
      <c r="A83" s="42">
        <v>4</v>
      </c>
      <c r="B83" s="270" t="s">
        <v>660</v>
      </c>
      <c r="C83" s="270"/>
      <c r="D83" s="270"/>
      <c r="E83" s="43">
        <v>1280323.15</v>
      </c>
    </row>
    <row r="84" spans="1:5" ht="15">
      <c r="A84" s="42">
        <v>5</v>
      </c>
      <c r="B84" s="270" t="s">
        <v>2340</v>
      </c>
      <c r="C84" s="270"/>
      <c r="D84" s="270"/>
      <c r="E84" s="43">
        <v>1067898.35</v>
      </c>
    </row>
    <row r="85" spans="1:5" ht="15">
      <c r="A85" s="42">
        <v>6</v>
      </c>
      <c r="B85" s="272" t="s">
        <v>2341</v>
      </c>
      <c r="C85" s="272"/>
      <c r="D85" s="272"/>
      <c r="E85" s="44">
        <f>'[5]Комсомольский 28'!$E$102+E80</f>
        <v>1171596.38216</v>
      </c>
    </row>
    <row r="86" spans="1:5" ht="15">
      <c r="A86" s="42">
        <v>7</v>
      </c>
      <c r="B86" s="270" t="s">
        <v>732</v>
      </c>
      <c r="C86" s="270"/>
      <c r="D86" s="270"/>
      <c r="E86" s="43">
        <v>177628.9</v>
      </c>
    </row>
    <row r="87" spans="1:5" ht="15">
      <c r="A87" s="42">
        <v>8</v>
      </c>
      <c r="B87" s="270" t="s">
        <v>733</v>
      </c>
      <c r="C87" s="270"/>
      <c r="D87" s="270"/>
      <c r="E87" s="43">
        <v>148157.4</v>
      </c>
    </row>
    <row r="88" spans="1:5" ht="15">
      <c r="A88" s="42">
        <v>9</v>
      </c>
      <c r="B88" s="272" t="s">
        <v>734</v>
      </c>
      <c r="C88" s="272"/>
      <c r="D88" s="272"/>
      <c r="E88" s="44">
        <v>0</v>
      </c>
    </row>
    <row r="89" spans="1:5" ht="15">
      <c r="A89" s="42">
        <v>10</v>
      </c>
      <c r="B89" s="270" t="s">
        <v>260</v>
      </c>
      <c r="C89" s="270"/>
      <c r="D89" s="270"/>
      <c r="E89" s="43">
        <v>343738.84</v>
      </c>
    </row>
    <row r="90" spans="1:5" ht="15">
      <c r="A90" s="42">
        <v>11</v>
      </c>
      <c r="B90" s="270" t="s">
        <v>735</v>
      </c>
      <c r="C90" s="270"/>
      <c r="D90" s="270"/>
      <c r="E90" s="43">
        <v>47412.1</v>
      </c>
    </row>
    <row r="91" spans="1:5" ht="15">
      <c r="A91" s="42">
        <v>12</v>
      </c>
      <c r="B91" s="272" t="s">
        <v>736</v>
      </c>
      <c r="C91" s="272"/>
      <c r="D91" s="272"/>
      <c r="E91" s="44">
        <v>0</v>
      </c>
    </row>
    <row r="92" spans="1:5" ht="19.5" customHeight="1">
      <c r="A92" s="42">
        <v>13</v>
      </c>
      <c r="B92" s="271" t="s">
        <v>737</v>
      </c>
      <c r="C92" s="271"/>
      <c r="D92" s="271"/>
      <c r="E92" s="45">
        <f>E83-E85</f>
        <v>108726.76783999987</v>
      </c>
    </row>
    <row r="93" spans="1:5" ht="15" customHeight="1">
      <c r="A93" s="42">
        <v>14</v>
      </c>
      <c r="B93" s="271" t="s">
        <v>738</v>
      </c>
      <c r="C93" s="271"/>
      <c r="D93" s="271"/>
      <c r="E93" s="45">
        <f>E86-E88</f>
        <v>177628.9</v>
      </c>
    </row>
    <row r="94" spans="1:5" ht="30" customHeight="1">
      <c r="A94" s="42">
        <v>15</v>
      </c>
      <c r="B94" s="271" t="s">
        <v>2273</v>
      </c>
      <c r="C94" s="271"/>
      <c r="D94" s="271"/>
      <c r="E94" s="45">
        <f>E84-E85</f>
        <v>-103698.03215999994</v>
      </c>
    </row>
    <row r="95" ht="12.75">
      <c r="E95" s="39"/>
    </row>
    <row r="96" spans="1:5" ht="76.5">
      <c r="A96" s="12" t="s">
        <v>492</v>
      </c>
      <c r="E96" s="39"/>
    </row>
    <row r="97" spans="1:5" ht="63.75">
      <c r="A97" s="12" t="s">
        <v>493</v>
      </c>
      <c r="E97" s="39"/>
    </row>
    <row r="98" spans="1:5" ht="114.75">
      <c r="A98" s="12" t="s">
        <v>494</v>
      </c>
      <c r="E98" s="39"/>
    </row>
    <row r="99" spans="1:5" ht="63.75">
      <c r="A99" s="12" t="s">
        <v>495</v>
      </c>
      <c r="E99" s="39"/>
    </row>
  </sheetData>
  <sheetProtection/>
  <mergeCells count="36">
    <mergeCell ref="A33:D33"/>
    <mergeCell ref="A36:D36"/>
    <mergeCell ref="B92:D92"/>
    <mergeCell ref="B93:D93"/>
    <mergeCell ref="B90:D90"/>
    <mergeCell ref="B80:D80"/>
    <mergeCell ref="B79:D79"/>
    <mergeCell ref="B77:D77"/>
    <mergeCell ref="B78:D78"/>
    <mergeCell ref="B83:D83"/>
    <mergeCell ref="B81:D81"/>
    <mergeCell ref="B85:D85"/>
    <mergeCell ref="B91:D91"/>
    <mergeCell ref="B84:D84"/>
    <mergeCell ref="B82:D82"/>
    <mergeCell ref="B94:D94"/>
    <mergeCell ref="B86:D86"/>
    <mergeCell ref="B87:D87"/>
    <mergeCell ref="B88:D88"/>
    <mergeCell ref="B89:D89"/>
    <mergeCell ref="A1:E1"/>
    <mergeCell ref="A4:D4"/>
    <mergeCell ref="A7:D7"/>
    <mergeCell ref="A14:D14"/>
    <mergeCell ref="B3:C3"/>
    <mergeCell ref="B6:C6"/>
    <mergeCell ref="A75:D75"/>
    <mergeCell ref="A18:D18"/>
    <mergeCell ref="A28:D28"/>
    <mergeCell ref="A76:D76"/>
    <mergeCell ref="A53:D53"/>
    <mergeCell ref="A60:D60"/>
    <mergeCell ref="A62:D62"/>
    <mergeCell ref="A68:D68"/>
    <mergeCell ref="A39:D39"/>
    <mergeCell ref="A52:D52"/>
  </mergeCells>
  <printOptions/>
  <pageMargins left="0.2755905511811024" right="0.2362204724409449" top="0.2755905511811024" bottom="0.2362204724409449" header="0.1968503937007874" footer="0.1574803149606299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95"/>
  <sheetViews>
    <sheetView zoomScalePageLayoutView="0" workbookViewId="0" topLeftCell="A1">
      <selection activeCell="E90" sqref="A1:E90"/>
    </sheetView>
  </sheetViews>
  <sheetFormatPr defaultColWidth="13.421875" defaultRowHeight="12.75" outlineLevelRow="2"/>
  <cols>
    <col min="1" max="1" width="3.421875" style="1" customWidth="1"/>
    <col min="2" max="2" width="11.8515625" style="1" customWidth="1"/>
    <col min="3" max="3" width="14.7109375" style="1" customWidth="1"/>
    <col min="4" max="4" width="74.574218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315" t="s">
        <v>2241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</f>
        <v>47802.18</v>
      </c>
    </row>
    <row r="4" spans="1:5" ht="15" customHeight="1" outlineLevel="1">
      <c r="A4" s="255" t="s">
        <v>1590</v>
      </c>
      <c r="B4" s="256"/>
      <c r="C4" s="256"/>
      <c r="D4" s="257"/>
      <c r="E4" s="105">
        <f>SUM(E5:E5)</f>
        <v>46764.5</v>
      </c>
    </row>
    <row r="5" spans="1:6" ht="15" outlineLevel="2">
      <c r="A5" s="81"/>
      <c r="B5" s="84" t="s">
        <v>1110</v>
      </c>
      <c r="C5" s="84" t="s">
        <v>1582</v>
      </c>
      <c r="D5" s="84" t="s">
        <v>98</v>
      </c>
      <c r="E5" s="106">
        <v>46764.5</v>
      </c>
      <c r="F5" s="14"/>
    </row>
    <row r="6" spans="1:5" ht="12.75" customHeight="1" outlineLevel="1">
      <c r="A6" s="255" t="s">
        <v>1599</v>
      </c>
      <c r="B6" s="256"/>
      <c r="C6" s="256"/>
      <c r="D6" s="257"/>
      <c r="E6" s="105">
        <f>SUM(E7:E7)</f>
        <v>1037.68</v>
      </c>
    </row>
    <row r="7" spans="1:6" ht="15" outlineLevel="2">
      <c r="A7" s="42"/>
      <c r="B7" s="84" t="s">
        <v>105</v>
      </c>
      <c r="C7" s="84" t="s">
        <v>1583</v>
      </c>
      <c r="D7" s="84" t="s">
        <v>1616</v>
      </c>
      <c r="E7" s="106">
        <v>1037.68</v>
      </c>
      <c r="F7" s="14"/>
    </row>
    <row r="8" spans="1:5" ht="13.5" customHeight="1">
      <c r="A8" s="91"/>
      <c r="B8" s="308"/>
      <c r="C8" s="308"/>
      <c r="D8" s="155" t="s">
        <v>1600</v>
      </c>
      <c r="E8" s="130">
        <f>E9+E17+E19+E30+E33+E36+E42+E55+E56+E63+E66+E72</f>
        <v>145124.6</v>
      </c>
    </row>
    <row r="9" spans="1:5" ht="12.75" customHeight="1" outlineLevel="1">
      <c r="A9" s="255" t="s">
        <v>1576</v>
      </c>
      <c r="B9" s="256"/>
      <c r="C9" s="256"/>
      <c r="D9" s="257"/>
      <c r="E9" s="105">
        <f>SUM(E10:E16)</f>
        <v>8791.8</v>
      </c>
    </row>
    <row r="10" spans="1:6" ht="15" outlineLevel="2">
      <c r="A10" s="42"/>
      <c r="B10" s="83" t="s">
        <v>2181</v>
      </c>
      <c r="C10" s="83" t="s">
        <v>1579</v>
      </c>
      <c r="D10" s="83" t="s">
        <v>2332</v>
      </c>
      <c r="E10" s="106">
        <v>304.09</v>
      </c>
      <c r="F10" s="14"/>
    </row>
    <row r="11" spans="1:6" ht="15" outlineLevel="2">
      <c r="A11" s="42"/>
      <c r="B11" s="83" t="s">
        <v>2</v>
      </c>
      <c r="C11" s="83" t="s">
        <v>1580</v>
      </c>
      <c r="D11" s="83" t="s">
        <v>2277</v>
      </c>
      <c r="E11" s="106">
        <v>59.95</v>
      </c>
      <c r="F11" s="14"/>
    </row>
    <row r="12" spans="1:6" ht="24.75" customHeight="1" outlineLevel="2">
      <c r="A12" s="42"/>
      <c r="B12" s="83" t="s">
        <v>875</v>
      </c>
      <c r="C12" s="83" t="s">
        <v>1582</v>
      </c>
      <c r="D12" s="83" t="s">
        <v>1858</v>
      </c>
      <c r="E12" s="106">
        <v>1453.47</v>
      </c>
      <c r="F12" s="14"/>
    </row>
    <row r="13" spans="1:6" ht="24.75" customHeight="1" outlineLevel="2">
      <c r="A13" s="42"/>
      <c r="B13" s="83" t="s">
        <v>508</v>
      </c>
      <c r="C13" s="83" t="s">
        <v>1582</v>
      </c>
      <c r="D13" s="83" t="s">
        <v>509</v>
      </c>
      <c r="E13" s="106">
        <v>189.51</v>
      </c>
      <c r="F13" s="14"/>
    </row>
    <row r="14" spans="1:6" ht="15" outlineLevel="2">
      <c r="A14" s="42"/>
      <c r="B14" s="83" t="s">
        <v>1033</v>
      </c>
      <c r="C14" s="83" t="s">
        <v>1583</v>
      </c>
      <c r="D14" s="83" t="s">
        <v>509</v>
      </c>
      <c r="E14" s="106">
        <v>1076.93</v>
      </c>
      <c r="F14" s="14"/>
    </row>
    <row r="15" spans="1:6" ht="15" outlineLevel="2">
      <c r="A15" s="42"/>
      <c r="B15" s="83" t="s">
        <v>2</v>
      </c>
      <c r="C15" s="83" t="s">
        <v>1583</v>
      </c>
      <c r="D15" s="83" t="s">
        <v>855</v>
      </c>
      <c r="E15" s="106">
        <v>80.15</v>
      </c>
      <c r="F15" s="14"/>
    </row>
    <row r="16" spans="1:6" ht="15" outlineLevel="2">
      <c r="A16" s="42"/>
      <c r="B16" s="83" t="s">
        <v>2</v>
      </c>
      <c r="C16" s="83" t="s">
        <v>1584</v>
      </c>
      <c r="D16" s="83" t="s">
        <v>760</v>
      </c>
      <c r="E16" s="106">
        <v>5627.7</v>
      </c>
      <c r="F16" s="14"/>
    </row>
    <row r="17" spans="1:5" ht="12.75" customHeight="1" outlineLevel="1">
      <c r="A17" s="255" t="s">
        <v>1589</v>
      </c>
      <c r="B17" s="256"/>
      <c r="C17" s="256"/>
      <c r="D17" s="257"/>
      <c r="E17" s="105">
        <f>SUM(E18:E18)</f>
        <v>34.2</v>
      </c>
    </row>
    <row r="18" spans="1:6" ht="15" outlineLevel="2">
      <c r="A18" s="42"/>
      <c r="B18" s="83" t="s">
        <v>1202</v>
      </c>
      <c r="C18" s="83" t="s">
        <v>1582</v>
      </c>
      <c r="D18" s="83" t="s">
        <v>1203</v>
      </c>
      <c r="E18" s="106">
        <v>34.2</v>
      </c>
      <c r="F18" s="14"/>
    </row>
    <row r="19" spans="1:5" ht="15.75" customHeight="1" outlineLevel="1">
      <c r="A19" s="255" t="s">
        <v>1590</v>
      </c>
      <c r="B19" s="256"/>
      <c r="C19" s="256"/>
      <c r="D19" s="257"/>
      <c r="E19" s="105">
        <f>SUM(E20:E29)</f>
        <v>18594.660000000003</v>
      </c>
    </row>
    <row r="20" spans="1:6" ht="15" outlineLevel="2">
      <c r="A20" s="42"/>
      <c r="B20" s="88" t="s">
        <v>2143</v>
      </c>
      <c r="C20" s="82" t="s">
        <v>1577</v>
      </c>
      <c r="D20" s="82" t="s">
        <v>429</v>
      </c>
      <c r="E20" s="106">
        <v>6385.3</v>
      </c>
      <c r="F20" s="14"/>
    </row>
    <row r="21" spans="1:6" ht="15" outlineLevel="2">
      <c r="A21" s="42"/>
      <c r="B21" s="87" t="s">
        <v>2</v>
      </c>
      <c r="C21" s="83" t="s">
        <v>1577</v>
      </c>
      <c r="D21" s="83" t="s">
        <v>1507</v>
      </c>
      <c r="E21" s="106">
        <v>56.66</v>
      </c>
      <c r="F21" s="14"/>
    </row>
    <row r="22" spans="1:6" ht="15" outlineLevel="2">
      <c r="A22" s="42"/>
      <c r="B22" s="87" t="s">
        <v>878</v>
      </c>
      <c r="C22" s="83" t="s">
        <v>1579</v>
      </c>
      <c r="D22" s="83" t="s">
        <v>2309</v>
      </c>
      <c r="E22" s="106">
        <v>477.9</v>
      </c>
      <c r="F22" s="14"/>
    </row>
    <row r="23" spans="1:6" ht="15" outlineLevel="2">
      <c r="A23" s="42"/>
      <c r="B23" s="87" t="s">
        <v>1489</v>
      </c>
      <c r="C23" s="83" t="s">
        <v>1580</v>
      </c>
      <c r="D23" s="83" t="s">
        <v>1622</v>
      </c>
      <c r="E23" s="106">
        <v>719.79</v>
      </c>
      <c r="F23" s="14"/>
    </row>
    <row r="24" spans="1:6" ht="15" outlineLevel="2">
      <c r="A24" s="42"/>
      <c r="B24" s="87" t="s">
        <v>1494</v>
      </c>
      <c r="C24" s="83" t="s">
        <v>1581</v>
      </c>
      <c r="D24" s="83" t="s">
        <v>2257</v>
      </c>
      <c r="E24" s="106">
        <v>83.03</v>
      </c>
      <c r="F24" s="14"/>
    </row>
    <row r="25" spans="1:6" ht="15" outlineLevel="2">
      <c r="A25" s="42"/>
      <c r="B25" s="87" t="s">
        <v>1039</v>
      </c>
      <c r="C25" s="83" t="s">
        <v>1582</v>
      </c>
      <c r="D25" s="83" t="s">
        <v>1040</v>
      </c>
      <c r="E25" s="106">
        <v>8727.8</v>
      </c>
      <c r="F25" s="14"/>
    </row>
    <row r="26" spans="1:6" ht="13.5" customHeight="1" outlineLevel="2">
      <c r="A26" s="42"/>
      <c r="B26" s="87" t="s">
        <v>192</v>
      </c>
      <c r="C26" s="83" t="s">
        <v>1586</v>
      </c>
      <c r="D26" s="83" t="s">
        <v>783</v>
      </c>
      <c r="E26" s="106">
        <v>1470.65</v>
      </c>
      <c r="F26" s="14"/>
    </row>
    <row r="27" spans="1:6" ht="13.5" customHeight="1" outlineLevel="2">
      <c r="A27" s="42"/>
      <c r="B27" s="87" t="s">
        <v>2</v>
      </c>
      <c r="C27" s="83" t="s">
        <v>1587</v>
      </c>
      <c r="D27" s="83" t="s">
        <v>1179</v>
      </c>
      <c r="E27" s="106">
        <v>45</v>
      </c>
      <c r="F27" s="14"/>
    </row>
    <row r="28" spans="1:6" ht="13.5" customHeight="1" outlineLevel="2">
      <c r="A28" s="42"/>
      <c r="B28" s="87" t="s">
        <v>1199</v>
      </c>
      <c r="C28" s="83" t="s">
        <v>1587</v>
      </c>
      <c r="D28" s="83" t="s">
        <v>1142</v>
      </c>
      <c r="E28" s="106">
        <v>91.06</v>
      </c>
      <c r="F28" s="14"/>
    </row>
    <row r="29" spans="1:6" ht="13.5" customHeight="1" outlineLevel="2">
      <c r="A29" s="42"/>
      <c r="B29" s="87" t="s">
        <v>441</v>
      </c>
      <c r="C29" s="83" t="s">
        <v>1588</v>
      </c>
      <c r="D29" s="83" t="s">
        <v>442</v>
      </c>
      <c r="E29" s="106">
        <v>537.47</v>
      </c>
      <c r="F29" s="14"/>
    </row>
    <row r="30" spans="1:5" ht="15" customHeight="1" outlineLevel="1">
      <c r="A30" s="255" t="s">
        <v>1591</v>
      </c>
      <c r="B30" s="256"/>
      <c r="C30" s="256"/>
      <c r="D30" s="257"/>
      <c r="E30" s="105">
        <f>SUM(E31:E32)</f>
        <v>4230.12</v>
      </c>
    </row>
    <row r="31" spans="1:6" ht="15" outlineLevel="2">
      <c r="A31" s="42"/>
      <c r="B31" s="87" t="s">
        <v>768</v>
      </c>
      <c r="C31" s="83" t="s">
        <v>1578</v>
      </c>
      <c r="D31" s="83" t="s">
        <v>770</v>
      </c>
      <c r="E31" s="106">
        <v>2583.31</v>
      </c>
      <c r="F31" s="14"/>
    </row>
    <row r="32" spans="1:6" ht="15" outlineLevel="2">
      <c r="A32" s="42"/>
      <c r="B32" s="87" t="s">
        <v>2180</v>
      </c>
      <c r="C32" s="83" t="s">
        <v>1578</v>
      </c>
      <c r="D32" s="83" t="s">
        <v>2226</v>
      </c>
      <c r="E32" s="106">
        <v>1646.81</v>
      </c>
      <c r="F32" s="14"/>
    </row>
    <row r="33" spans="1:5" ht="15" customHeight="1" outlineLevel="1">
      <c r="A33" s="255" t="s">
        <v>1594</v>
      </c>
      <c r="B33" s="256"/>
      <c r="C33" s="256"/>
      <c r="D33" s="257"/>
      <c r="E33" s="105">
        <f>SUM(E34:E35)</f>
        <v>1373.4</v>
      </c>
    </row>
    <row r="34" spans="1:6" ht="15" outlineLevel="2">
      <c r="A34" s="141"/>
      <c r="B34" s="88" t="s">
        <v>278</v>
      </c>
      <c r="C34" s="82" t="s">
        <v>1577</v>
      </c>
      <c r="D34" s="82" t="s">
        <v>280</v>
      </c>
      <c r="E34" s="106">
        <v>329.6</v>
      </c>
      <c r="F34" s="14"/>
    </row>
    <row r="35" spans="1:6" ht="15" outlineLevel="2">
      <c r="A35" s="42"/>
      <c r="B35" s="87" t="s">
        <v>300</v>
      </c>
      <c r="C35" s="83" t="s">
        <v>1577</v>
      </c>
      <c r="D35" s="83" t="s">
        <v>2147</v>
      </c>
      <c r="E35" s="106">
        <v>1043.8</v>
      </c>
      <c r="F35" s="14"/>
    </row>
    <row r="36" spans="1:5" ht="12" customHeight="1" outlineLevel="1">
      <c r="A36" s="255" t="s">
        <v>1599</v>
      </c>
      <c r="B36" s="256"/>
      <c r="C36" s="256"/>
      <c r="D36" s="257"/>
      <c r="E36" s="105">
        <f>SUM(E37:E41)</f>
        <v>5230.76</v>
      </c>
    </row>
    <row r="37" spans="1:6" ht="15" outlineLevel="2">
      <c r="A37" s="42"/>
      <c r="B37" s="83" t="s">
        <v>2022</v>
      </c>
      <c r="C37" s="83" t="s">
        <v>1578</v>
      </c>
      <c r="D37" s="83" t="s">
        <v>1405</v>
      </c>
      <c r="E37" s="106">
        <v>1826.4</v>
      </c>
      <c r="F37" s="14"/>
    </row>
    <row r="38" spans="1:6" ht="15" outlineLevel="2">
      <c r="A38" s="42"/>
      <c r="B38" s="83" t="s">
        <v>10</v>
      </c>
      <c r="C38" s="83" t="s">
        <v>1578</v>
      </c>
      <c r="D38" s="83" t="s">
        <v>2128</v>
      </c>
      <c r="E38" s="106">
        <v>418.59</v>
      </c>
      <c r="F38" s="14"/>
    </row>
    <row r="39" spans="1:6" ht="15" outlineLevel="2">
      <c r="A39" s="42"/>
      <c r="B39" s="83" t="s">
        <v>17</v>
      </c>
      <c r="C39" s="83" t="s">
        <v>1579</v>
      </c>
      <c r="D39" s="83" t="s">
        <v>2357</v>
      </c>
      <c r="E39" s="106">
        <v>29</v>
      </c>
      <c r="F39" s="14"/>
    </row>
    <row r="40" spans="1:6" ht="15" outlineLevel="2">
      <c r="A40" s="42"/>
      <c r="B40" s="83" t="s">
        <v>38</v>
      </c>
      <c r="C40" s="83" t="s">
        <v>1582</v>
      </c>
      <c r="D40" s="83" t="s">
        <v>818</v>
      </c>
      <c r="E40" s="106">
        <v>1422.13</v>
      </c>
      <c r="F40" s="14"/>
    </row>
    <row r="41" spans="1:6" ht="15" outlineLevel="2">
      <c r="A41" s="42"/>
      <c r="B41" s="83" t="s">
        <v>1260</v>
      </c>
      <c r="C41" s="83" t="s">
        <v>1583</v>
      </c>
      <c r="D41" s="83" t="s">
        <v>954</v>
      </c>
      <c r="E41" s="106">
        <v>1534.64</v>
      </c>
      <c r="F41" s="14"/>
    </row>
    <row r="42" spans="1:5" ht="12.75" customHeight="1" outlineLevel="1">
      <c r="A42" s="255" t="s">
        <v>1713</v>
      </c>
      <c r="B42" s="256"/>
      <c r="C42" s="256"/>
      <c r="D42" s="257"/>
      <c r="E42" s="105">
        <f>SUM(E43:E54)</f>
        <v>67101.84</v>
      </c>
    </row>
    <row r="43" spans="1:6" ht="15" outlineLevel="2">
      <c r="A43" s="42"/>
      <c r="B43" s="82"/>
      <c r="C43" s="82" t="s">
        <v>1577</v>
      </c>
      <c r="D43" s="82" t="s">
        <v>1496</v>
      </c>
      <c r="E43" s="106">
        <v>5692.32</v>
      </c>
      <c r="F43" s="14"/>
    </row>
    <row r="44" spans="1:6" ht="15" outlineLevel="2">
      <c r="A44" s="42"/>
      <c r="B44" s="83"/>
      <c r="C44" s="83" t="s">
        <v>1578</v>
      </c>
      <c r="D44" s="83" t="s">
        <v>1496</v>
      </c>
      <c r="E44" s="106">
        <v>5692.32</v>
      </c>
      <c r="F44" s="14"/>
    </row>
    <row r="45" spans="1:6" ht="15" outlineLevel="2">
      <c r="A45" s="42"/>
      <c r="B45" s="83"/>
      <c r="C45" s="83" t="s">
        <v>1579</v>
      </c>
      <c r="D45" s="83" t="s">
        <v>1496</v>
      </c>
      <c r="E45" s="106">
        <v>5692.32</v>
      </c>
      <c r="F45" s="14"/>
    </row>
    <row r="46" spans="1:6" ht="15" outlineLevel="2">
      <c r="A46" s="42"/>
      <c r="B46" s="83"/>
      <c r="C46" s="83" t="s">
        <v>1580</v>
      </c>
      <c r="D46" s="83" t="s">
        <v>1496</v>
      </c>
      <c r="E46" s="106">
        <v>5692.32</v>
      </c>
      <c r="F46" s="14"/>
    </row>
    <row r="47" spans="1:6" ht="15" outlineLevel="2">
      <c r="A47" s="42"/>
      <c r="B47" s="83"/>
      <c r="C47" s="83" t="s">
        <v>1581</v>
      </c>
      <c r="D47" s="83" t="s">
        <v>1496</v>
      </c>
      <c r="E47" s="106">
        <v>5451.12</v>
      </c>
      <c r="F47" s="14"/>
    </row>
    <row r="48" spans="1:6" ht="15" outlineLevel="2">
      <c r="A48" s="42"/>
      <c r="B48" s="83"/>
      <c r="C48" s="83" t="s">
        <v>1582</v>
      </c>
      <c r="D48" s="83" t="s">
        <v>1496</v>
      </c>
      <c r="E48" s="106">
        <v>5451.12</v>
      </c>
      <c r="F48" s="14"/>
    </row>
    <row r="49" spans="1:6" ht="15" outlineLevel="2">
      <c r="A49" s="42"/>
      <c r="B49" s="83"/>
      <c r="C49" s="83" t="s">
        <v>1583</v>
      </c>
      <c r="D49" s="83" t="s">
        <v>1496</v>
      </c>
      <c r="E49" s="106">
        <v>5451.12</v>
      </c>
      <c r="F49" s="14"/>
    </row>
    <row r="50" spans="1:6" ht="15" outlineLevel="2">
      <c r="A50" s="42"/>
      <c r="B50" s="83"/>
      <c r="C50" s="83" t="s">
        <v>1584</v>
      </c>
      <c r="D50" s="83" t="s">
        <v>1496</v>
      </c>
      <c r="E50" s="106">
        <v>5451.12</v>
      </c>
      <c r="F50" s="14"/>
    </row>
    <row r="51" spans="1:6" ht="15" outlineLevel="2">
      <c r="A51" s="42"/>
      <c r="B51" s="83"/>
      <c r="C51" s="83" t="s">
        <v>1585</v>
      </c>
      <c r="D51" s="83" t="s">
        <v>1496</v>
      </c>
      <c r="E51" s="106">
        <v>5451.12</v>
      </c>
      <c r="F51" s="14"/>
    </row>
    <row r="52" spans="1:6" ht="15" outlineLevel="2">
      <c r="A52" s="42"/>
      <c r="B52" s="83"/>
      <c r="C52" s="83" t="s">
        <v>1586</v>
      </c>
      <c r="D52" s="83" t="s">
        <v>1496</v>
      </c>
      <c r="E52" s="106">
        <v>5692.32</v>
      </c>
      <c r="F52" s="14"/>
    </row>
    <row r="53" spans="1:6" ht="15" outlineLevel="2">
      <c r="A53" s="42"/>
      <c r="B53" s="83"/>
      <c r="C53" s="83" t="s">
        <v>1587</v>
      </c>
      <c r="D53" s="83" t="s">
        <v>1496</v>
      </c>
      <c r="E53" s="106">
        <v>5692.32</v>
      </c>
      <c r="F53" s="14"/>
    </row>
    <row r="54" spans="1:6" ht="15" outlineLevel="2">
      <c r="A54" s="42"/>
      <c r="B54" s="89"/>
      <c r="C54" s="83" t="s">
        <v>1588</v>
      </c>
      <c r="D54" s="83" t="s">
        <v>1496</v>
      </c>
      <c r="E54" s="106">
        <v>5692.32</v>
      </c>
      <c r="F54" s="14"/>
    </row>
    <row r="55" spans="1:5" ht="14.25" customHeight="1" outlineLevel="1">
      <c r="A55" s="255" t="s">
        <v>1714</v>
      </c>
      <c r="B55" s="256"/>
      <c r="C55" s="256"/>
      <c r="D55" s="257"/>
      <c r="E55" s="105">
        <f>1.46*1608*12</f>
        <v>28172.159999999996</v>
      </c>
    </row>
    <row r="56" spans="1:5" ht="14.25" customHeight="1" outlineLevel="1">
      <c r="A56" s="255" t="s">
        <v>1715</v>
      </c>
      <c r="B56" s="256"/>
      <c r="C56" s="256"/>
      <c r="D56" s="257"/>
      <c r="E56" s="105">
        <f>SUM(E57:E62)</f>
        <v>3661.3300000000004</v>
      </c>
    </row>
    <row r="57" spans="1:6" ht="15" outlineLevel="2">
      <c r="A57" s="42"/>
      <c r="B57" s="83" t="s">
        <v>235</v>
      </c>
      <c r="C57" s="83" t="s">
        <v>1579</v>
      </c>
      <c r="D57" s="83" t="s">
        <v>1005</v>
      </c>
      <c r="E57" s="106">
        <v>1380.51</v>
      </c>
      <c r="F57" s="14"/>
    </row>
    <row r="58" spans="1:6" ht="15" outlineLevel="2">
      <c r="A58" s="42"/>
      <c r="B58" s="83" t="s">
        <v>53</v>
      </c>
      <c r="C58" s="83" t="s">
        <v>1583</v>
      </c>
      <c r="D58" s="83" t="s">
        <v>110</v>
      </c>
      <c r="E58" s="106">
        <v>544.85</v>
      </c>
      <c r="F58" s="14"/>
    </row>
    <row r="59" spans="1:6" ht="12.75" customHeight="1" outlineLevel="2">
      <c r="A59" s="42"/>
      <c r="B59" s="83" t="s">
        <v>1033</v>
      </c>
      <c r="C59" s="83" t="s">
        <v>1584</v>
      </c>
      <c r="D59" s="83" t="s">
        <v>762</v>
      </c>
      <c r="E59" s="106">
        <v>621.47</v>
      </c>
      <c r="F59" s="14"/>
    </row>
    <row r="60" spans="1:6" ht="15" outlineLevel="2">
      <c r="A60" s="42"/>
      <c r="B60" s="83" t="s">
        <v>576</v>
      </c>
      <c r="C60" s="83" t="s">
        <v>1586</v>
      </c>
      <c r="D60" s="83" t="s">
        <v>1005</v>
      </c>
      <c r="E60" s="106">
        <v>468.09</v>
      </c>
      <c r="F60" s="14"/>
    </row>
    <row r="61" spans="1:6" ht="15" outlineLevel="2">
      <c r="A61" s="42"/>
      <c r="B61" s="83" t="s">
        <v>206</v>
      </c>
      <c r="C61" s="83" t="s">
        <v>1587</v>
      </c>
      <c r="D61" s="83" t="s">
        <v>207</v>
      </c>
      <c r="E61" s="106">
        <v>278.3</v>
      </c>
      <c r="F61" s="14"/>
    </row>
    <row r="62" spans="1:6" ht="15" outlineLevel="2">
      <c r="A62" s="42"/>
      <c r="B62" s="83" t="s">
        <v>1958</v>
      </c>
      <c r="C62" s="83" t="s">
        <v>1588</v>
      </c>
      <c r="D62" s="83" t="s">
        <v>1960</v>
      </c>
      <c r="E62" s="106">
        <v>368.11</v>
      </c>
      <c r="F62" s="14"/>
    </row>
    <row r="63" spans="1:5" ht="12.75" customHeight="1" outlineLevel="1">
      <c r="A63" s="255" t="s">
        <v>1595</v>
      </c>
      <c r="B63" s="256"/>
      <c r="C63" s="256"/>
      <c r="D63" s="257"/>
      <c r="E63" s="105">
        <f>SUM(E64:E65)</f>
        <v>2074.2</v>
      </c>
    </row>
    <row r="64" spans="1:6" ht="15" outlineLevel="2">
      <c r="A64" s="42"/>
      <c r="B64" s="82" t="s">
        <v>64</v>
      </c>
      <c r="C64" s="82" t="s">
        <v>1577</v>
      </c>
      <c r="D64" s="82" t="s">
        <v>2124</v>
      </c>
      <c r="E64" s="106">
        <v>1895.2</v>
      </c>
      <c r="F64" s="14"/>
    </row>
    <row r="65" spans="1:6" ht="15" outlineLevel="2">
      <c r="A65" s="42"/>
      <c r="B65" s="83" t="s">
        <v>555</v>
      </c>
      <c r="C65" s="83" t="s">
        <v>1586</v>
      </c>
      <c r="D65" s="83" t="s">
        <v>669</v>
      </c>
      <c r="E65" s="106">
        <v>179</v>
      </c>
      <c r="F65" s="14"/>
    </row>
    <row r="66" spans="1:5" ht="12.75" customHeight="1" outlineLevel="1">
      <c r="A66" s="255" t="s">
        <v>1718</v>
      </c>
      <c r="B66" s="256"/>
      <c r="C66" s="256"/>
      <c r="D66" s="257"/>
      <c r="E66" s="105">
        <f>SUM(E67:E70)</f>
        <v>2693.4700000000003</v>
      </c>
    </row>
    <row r="67" spans="1:6" ht="15" outlineLevel="2">
      <c r="A67" s="42"/>
      <c r="B67" s="82" t="s">
        <v>2</v>
      </c>
      <c r="C67" s="82" t="s">
        <v>1577</v>
      </c>
      <c r="D67" s="82" t="s">
        <v>1897</v>
      </c>
      <c r="E67" s="106">
        <v>1630.65</v>
      </c>
      <c r="F67" s="14"/>
    </row>
    <row r="68" spans="1:6" ht="15" outlineLevel="2">
      <c r="A68" s="42"/>
      <c r="B68" s="83" t="s">
        <v>2</v>
      </c>
      <c r="C68" s="83" t="s">
        <v>57</v>
      </c>
      <c r="D68" s="83" t="s">
        <v>721</v>
      </c>
      <c r="E68" s="106">
        <v>120.73</v>
      </c>
      <c r="F68" s="14"/>
    </row>
    <row r="69" spans="1:6" ht="15" outlineLevel="2">
      <c r="A69" s="42"/>
      <c r="B69" s="83" t="s">
        <v>2</v>
      </c>
      <c r="C69" s="83" t="s">
        <v>1581</v>
      </c>
      <c r="D69" s="83" t="s">
        <v>2390</v>
      </c>
      <c r="E69" s="106">
        <v>807.69</v>
      </c>
      <c r="F69" s="14"/>
    </row>
    <row r="70" spans="1:6" ht="15" outlineLevel="2">
      <c r="A70" s="42"/>
      <c r="B70" s="84" t="s">
        <v>2</v>
      </c>
      <c r="C70" s="84" t="s">
        <v>57</v>
      </c>
      <c r="D70" s="84" t="s">
        <v>936</v>
      </c>
      <c r="E70" s="106">
        <v>134.4</v>
      </c>
      <c r="F70" s="14"/>
    </row>
    <row r="71" spans="1:6" ht="14.25" customHeight="1" outlineLevel="2">
      <c r="A71" s="255" t="s">
        <v>0</v>
      </c>
      <c r="B71" s="256"/>
      <c r="C71" s="256"/>
      <c r="D71" s="257"/>
      <c r="E71" s="105">
        <f>0.1*1608*12</f>
        <v>1929.6000000000001</v>
      </c>
      <c r="F71" s="14"/>
    </row>
    <row r="72" spans="1:6" ht="13.5" customHeight="1" outlineLevel="2">
      <c r="A72" s="255" t="s">
        <v>1369</v>
      </c>
      <c r="B72" s="256"/>
      <c r="C72" s="256"/>
      <c r="D72" s="257"/>
      <c r="E72" s="105">
        <v>3166.66</v>
      </c>
      <c r="F72" s="14"/>
    </row>
    <row r="73" spans="1:6" ht="15">
      <c r="A73" s="42"/>
      <c r="B73" s="273" t="s">
        <v>255</v>
      </c>
      <c r="C73" s="273"/>
      <c r="D73" s="273"/>
      <c r="E73" s="43">
        <f>0.94*1608*12</f>
        <v>18138.239999999998</v>
      </c>
      <c r="F73" s="26"/>
    </row>
    <row r="74" spans="1:6" ht="15">
      <c r="A74" s="42"/>
      <c r="B74" s="270" t="s">
        <v>59</v>
      </c>
      <c r="C74" s="270"/>
      <c r="D74" s="270"/>
      <c r="E74" s="43">
        <f>1.57*1608*12</f>
        <v>30294.72</v>
      </c>
      <c r="F74" s="14"/>
    </row>
    <row r="75" spans="1:6" ht="15">
      <c r="A75" s="42"/>
      <c r="B75" s="270" t="s">
        <v>256</v>
      </c>
      <c r="C75" s="270"/>
      <c r="D75" s="270"/>
      <c r="E75" s="43">
        <f>10.3*(E77+E78)/100</f>
        <v>42441.97503</v>
      </c>
      <c r="F75" s="14"/>
    </row>
    <row r="76" spans="1:5" ht="15">
      <c r="A76" s="42">
        <v>1</v>
      </c>
      <c r="B76" s="272" t="s">
        <v>659</v>
      </c>
      <c r="C76" s="272"/>
      <c r="D76" s="272"/>
      <c r="E76" s="44">
        <f>E75+E74+E73+E8+E3</f>
        <v>283801.71503</v>
      </c>
    </row>
    <row r="77" spans="1:6" ht="15">
      <c r="A77" s="42">
        <v>2</v>
      </c>
      <c r="B77" s="270" t="s">
        <v>258</v>
      </c>
      <c r="C77" s="270"/>
      <c r="D77" s="270"/>
      <c r="E77" s="43">
        <v>362036.31</v>
      </c>
      <c r="F77" s="14"/>
    </row>
    <row r="78" spans="1:5" ht="15">
      <c r="A78" s="42">
        <v>3</v>
      </c>
      <c r="B78" s="270" t="s">
        <v>259</v>
      </c>
      <c r="C78" s="270"/>
      <c r="D78" s="270"/>
      <c r="E78" s="43">
        <v>50021.7</v>
      </c>
    </row>
    <row r="79" spans="1:5" ht="15">
      <c r="A79" s="42">
        <v>4</v>
      </c>
      <c r="B79" s="270" t="s">
        <v>660</v>
      </c>
      <c r="C79" s="270"/>
      <c r="D79" s="270"/>
      <c r="E79" s="43">
        <v>1124422.89</v>
      </c>
    </row>
    <row r="80" spans="1:5" ht="15">
      <c r="A80" s="42">
        <v>5</v>
      </c>
      <c r="B80" s="270" t="s">
        <v>2340</v>
      </c>
      <c r="C80" s="270"/>
      <c r="D80" s="270"/>
      <c r="E80" s="43">
        <v>897457.35</v>
      </c>
    </row>
    <row r="81" spans="1:5" ht="15">
      <c r="A81" s="42">
        <v>6</v>
      </c>
      <c r="B81" s="272" t="s">
        <v>2341</v>
      </c>
      <c r="C81" s="272"/>
      <c r="D81" s="272"/>
      <c r="E81" s="44">
        <f>'[5]Комсомольский 30'!$E$69+E76</f>
        <v>918496.93503</v>
      </c>
    </row>
    <row r="82" spans="1:5" ht="15">
      <c r="A82" s="42">
        <v>7</v>
      </c>
      <c r="B82" s="270" t="s">
        <v>732</v>
      </c>
      <c r="C82" s="270"/>
      <c r="D82" s="270"/>
      <c r="E82" s="43">
        <v>156601.1</v>
      </c>
    </row>
    <row r="83" spans="1:5" ht="15">
      <c r="A83" s="42">
        <v>8</v>
      </c>
      <c r="B83" s="270" t="s">
        <v>733</v>
      </c>
      <c r="C83" s="270"/>
      <c r="D83" s="270"/>
      <c r="E83" s="43">
        <v>124976.6</v>
      </c>
    </row>
    <row r="84" spans="1:5" ht="15">
      <c r="A84" s="42">
        <v>9</v>
      </c>
      <c r="B84" s="272" t="s">
        <v>734</v>
      </c>
      <c r="C84" s="272"/>
      <c r="D84" s="272"/>
      <c r="E84" s="44">
        <f>E87+'[5]Комсомольский 30'!$E$72</f>
        <v>0</v>
      </c>
    </row>
    <row r="85" spans="1:5" ht="15">
      <c r="A85" s="42">
        <v>10</v>
      </c>
      <c r="B85" s="270" t="s">
        <v>260</v>
      </c>
      <c r="C85" s="270"/>
      <c r="D85" s="270"/>
      <c r="E85" s="43">
        <v>297975.7</v>
      </c>
    </row>
    <row r="86" spans="1:5" ht="15">
      <c r="A86" s="42">
        <v>11</v>
      </c>
      <c r="B86" s="270" t="s">
        <v>735</v>
      </c>
      <c r="C86" s="270"/>
      <c r="D86" s="270"/>
      <c r="E86" s="43">
        <v>41170.59</v>
      </c>
    </row>
    <row r="87" spans="1:5" ht="15">
      <c r="A87" s="42">
        <v>12</v>
      </c>
      <c r="B87" s="272" t="s">
        <v>736</v>
      </c>
      <c r="C87" s="272"/>
      <c r="D87" s="272"/>
      <c r="E87" s="44">
        <v>0</v>
      </c>
    </row>
    <row r="88" spans="1:5" ht="22.5" customHeight="1">
      <c r="A88" s="42">
        <v>13</v>
      </c>
      <c r="B88" s="271" t="s">
        <v>737</v>
      </c>
      <c r="C88" s="271"/>
      <c r="D88" s="271"/>
      <c r="E88" s="45">
        <f>E79-E81</f>
        <v>205925.95496999985</v>
      </c>
    </row>
    <row r="89" spans="1:5" ht="15" customHeight="1">
      <c r="A89" s="42">
        <v>14</v>
      </c>
      <c r="B89" s="271" t="s">
        <v>738</v>
      </c>
      <c r="C89" s="271"/>
      <c r="D89" s="271"/>
      <c r="E89" s="45">
        <f>E82-E84</f>
        <v>156601.1</v>
      </c>
    </row>
    <row r="90" spans="1:5" ht="27" customHeight="1">
      <c r="A90" s="42">
        <v>15</v>
      </c>
      <c r="B90" s="271" t="s">
        <v>1843</v>
      </c>
      <c r="C90" s="271"/>
      <c r="D90" s="271"/>
      <c r="E90" s="45">
        <f>E80-E81</f>
        <v>-21039.585030000075</v>
      </c>
    </row>
    <row r="91" ht="12.75">
      <c r="E91" s="39"/>
    </row>
    <row r="92" spans="1:5" ht="63.75">
      <c r="A92" s="12" t="s">
        <v>492</v>
      </c>
      <c r="E92" s="39"/>
    </row>
    <row r="93" spans="1:5" ht="51">
      <c r="A93" s="12" t="s">
        <v>493</v>
      </c>
      <c r="E93" s="39"/>
    </row>
    <row r="94" spans="1:5" ht="114.75">
      <c r="A94" s="12" t="s">
        <v>494</v>
      </c>
      <c r="E94" s="39"/>
    </row>
    <row r="95" spans="1:5" ht="63.75">
      <c r="A95" s="12" t="s">
        <v>495</v>
      </c>
      <c r="E95" s="39"/>
    </row>
  </sheetData>
  <sheetProtection/>
  <mergeCells count="36">
    <mergeCell ref="A1:E1"/>
    <mergeCell ref="A4:D4"/>
    <mergeCell ref="A6:D6"/>
    <mergeCell ref="A9:D9"/>
    <mergeCell ref="B3:C3"/>
    <mergeCell ref="B8:C8"/>
    <mergeCell ref="B79:D79"/>
    <mergeCell ref="B77:D77"/>
    <mergeCell ref="A17:D17"/>
    <mergeCell ref="A19:D19"/>
    <mergeCell ref="A30:D30"/>
    <mergeCell ref="A71:D71"/>
    <mergeCell ref="A33:D33"/>
    <mergeCell ref="A36:D36"/>
    <mergeCell ref="A42:D42"/>
    <mergeCell ref="A56:D56"/>
    <mergeCell ref="A55:D55"/>
    <mergeCell ref="A66:D66"/>
    <mergeCell ref="A63:D63"/>
    <mergeCell ref="B90:D90"/>
    <mergeCell ref="B82:D82"/>
    <mergeCell ref="B83:D83"/>
    <mergeCell ref="B84:D84"/>
    <mergeCell ref="B85:D85"/>
    <mergeCell ref="B88:D88"/>
    <mergeCell ref="B81:D81"/>
    <mergeCell ref="B89:D89"/>
    <mergeCell ref="B87:D87"/>
    <mergeCell ref="B86:D86"/>
    <mergeCell ref="A72:D72"/>
    <mergeCell ref="B78:D78"/>
    <mergeCell ref="B75:D75"/>
    <mergeCell ref="B73:D73"/>
    <mergeCell ref="B74:D74"/>
    <mergeCell ref="B76:D76"/>
    <mergeCell ref="B80:D80"/>
  </mergeCells>
  <printOptions/>
  <pageMargins left="0.31496062992125984" right="0.1968503937007874" top="0.31496062992125984" bottom="0.2362204724409449" header="0.2362204724409449" footer="0.1574803149606299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5"/>
  <sheetViews>
    <sheetView zoomScalePageLayoutView="0" workbookViewId="0" topLeftCell="A1">
      <selection activeCell="E100" sqref="A1:E100"/>
    </sheetView>
  </sheetViews>
  <sheetFormatPr defaultColWidth="13.421875" defaultRowHeight="12.75" outlineLevelRow="2"/>
  <cols>
    <col min="1" max="1" width="4.00390625" style="1" customWidth="1"/>
    <col min="2" max="2" width="11.8515625" style="1" customWidth="1"/>
    <col min="3" max="3" width="14.7109375" style="1" customWidth="1"/>
    <col min="4" max="4" width="74.281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3.5" customHeight="1" thickBot="1">
      <c r="A1" s="315" t="s">
        <v>2242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5">
      <c r="A3" s="91"/>
      <c r="B3" s="308"/>
      <c r="C3" s="308"/>
      <c r="D3" s="155" t="s">
        <v>1575</v>
      </c>
      <c r="E3" s="130">
        <f>E4+E6</f>
        <v>62627.12</v>
      </c>
    </row>
    <row r="4" spans="1:5" ht="14.25" customHeight="1" outlineLevel="1">
      <c r="A4" s="255" t="s">
        <v>1593</v>
      </c>
      <c r="B4" s="256"/>
      <c r="C4" s="256"/>
      <c r="D4" s="257"/>
      <c r="E4" s="105">
        <f>SUM(E5:E5)</f>
        <v>53776.12</v>
      </c>
    </row>
    <row r="5" spans="1:6" ht="15" outlineLevel="2">
      <c r="A5" s="81"/>
      <c r="B5" s="84" t="s">
        <v>895</v>
      </c>
      <c r="C5" s="84" t="s">
        <v>1580</v>
      </c>
      <c r="D5" s="84" t="s">
        <v>896</v>
      </c>
      <c r="E5" s="106">
        <v>53776.12</v>
      </c>
      <c r="F5" s="14"/>
    </row>
    <row r="6" spans="1:5" ht="14.25" customHeight="1" outlineLevel="1">
      <c r="A6" s="317" t="s">
        <v>1594</v>
      </c>
      <c r="B6" s="318"/>
      <c r="C6" s="318"/>
      <c r="D6" s="319"/>
      <c r="E6" s="105">
        <f>SUM(E7:E7)</f>
        <v>8851</v>
      </c>
    </row>
    <row r="7" spans="1:6" ht="15" outlineLevel="2">
      <c r="A7" s="81"/>
      <c r="B7" s="84" t="s">
        <v>2403</v>
      </c>
      <c r="C7" s="84" t="s">
        <v>1587</v>
      </c>
      <c r="D7" s="84" t="s">
        <v>771</v>
      </c>
      <c r="E7" s="106">
        <v>8851</v>
      </c>
      <c r="F7" s="14"/>
    </row>
    <row r="8" spans="1:5" ht="13.5" customHeight="1">
      <c r="A8" s="91"/>
      <c r="B8" s="308"/>
      <c r="C8" s="308"/>
      <c r="D8" s="155" t="s">
        <v>1600</v>
      </c>
      <c r="E8" s="130">
        <f>E9+E15+E23+E28+E33+E37+E50+E51+E68+E70+E75+E81+E82</f>
        <v>230566.50400000002</v>
      </c>
    </row>
    <row r="9" spans="1:5" ht="13.5" customHeight="1" outlineLevel="1">
      <c r="A9" s="317" t="s">
        <v>1576</v>
      </c>
      <c r="B9" s="318"/>
      <c r="C9" s="318"/>
      <c r="D9" s="319"/>
      <c r="E9" s="105">
        <f>SUM(E10:E14)</f>
        <v>5190.29</v>
      </c>
    </row>
    <row r="10" spans="1:6" ht="15" outlineLevel="2">
      <c r="A10" s="42"/>
      <c r="B10" s="83" t="s">
        <v>2</v>
      </c>
      <c r="C10" s="83" t="s">
        <v>1580</v>
      </c>
      <c r="D10" s="83" t="s">
        <v>2277</v>
      </c>
      <c r="E10" s="106">
        <v>59.95</v>
      </c>
      <c r="F10" s="14"/>
    </row>
    <row r="11" spans="1:6" ht="15" outlineLevel="2">
      <c r="A11" s="42"/>
      <c r="B11" s="83" t="s">
        <v>1689</v>
      </c>
      <c r="C11" s="83" t="s">
        <v>1582</v>
      </c>
      <c r="D11" s="83" t="s">
        <v>303</v>
      </c>
      <c r="E11" s="106">
        <v>3783.86</v>
      </c>
      <c r="F11" s="14"/>
    </row>
    <row r="12" spans="1:6" ht="12" customHeight="1" outlineLevel="2">
      <c r="A12" s="42"/>
      <c r="B12" s="83" t="s">
        <v>508</v>
      </c>
      <c r="C12" s="83" t="s">
        <v>1582</v>
      </c>
      <c r="D12" s="83" t="s">
        <v>509</v>
      </c>
      <c r="E12" s="106">
        <v>189.4</v>
      </c>
      <c r="F12" s="14"/>
    </row>
    <row r="13" spans="1:6" ht="15" outlineLevel="2">
      <c r="A13" s="42"/>
      <c r="B13" s="83" t="s">
        <v>1033</v>
      </c>
      <c r="C13" s="83" t="s">
        <v>1583</v>
      </c>
      <c r="D13" s="83" t="s">
        <v>509</v>
      </c>
      <c r="E13" s="106">
        <v>1076.93</v>
      </c>
      <c r="F13" s="14"/>
    </row>
    <row r="14" spans="1:6" ht="15" outlineLevel="2">
      <c r="A14" s="42"/>
      <c r="B14" s="83" t="s">
        <v>2</v>
      </c>
      <c r="C14" s="83" t="s">
        <v>1583</v>
      </c>
      <c r="D14" s="83" t="s">
        <v>855</v>
      </c>
      <c r="E14" s="106">
        <v>80.15</v>
      </c>
      <c r="F14" s="14"/>
    </row>
    <row r="15" spans="1:5" ht="13.5" customHeight="1" outlineLevel="1">
      <c r="A15" s="255" t="s">
        <v>1590</v>
      </c>
      <c r="B15" s="256"/>
      <c r="C15" s="256"/>
      <c r="D15" s="257"/>
      <c r="E15" s="105">
        <f>SUM(E16:E22)</f>
        <v>13164.18</v>
      </c>
    </row>
    <row r="16" spans="1:6" ht="15" outlineLevel="2">
      <c r="A16" s="42"/>
      <c r="B16" s="88" t="s">
        <v>2</v>
      </c>
      <c r="C16" s="82" t="s">
        <v>1577</v>
      </c>
      <c r="D16" s="82" t="s">
        <v>1507</v>
      </c>
      <c r="E16" s="106">
        <v>56.7</v>
      </c>
      <c r="F16" s="14"/>
    </row>
    <row r="17" spans="1:6" ht="15" outlineLevel="2">
      <c r="A17" s="42"/>
      <c r="B17" s="87" t="s">
        <v>2</v>
      </c>
      <c r="C17" s="83" t="s">
        <v>1584</v>
      </c>
      <c r="D17" s="83" t="s">
        <v>760</v>
      </c>
      <c r="E17" s="106">
        <v>5627.7</v>
      </c>
      <c r="F17" s="14"/>
    </row>
    <row r="18" spans="1:6" ht="15" outlineLevel="2">
      <c r="A18" s="42"/>
      <c r="B18" s="87" t="s">
        <v>338</v>
      </c>
      <c r="C18" s="83" t="s">
        <v>1586</v>
      </c>
      <c r="D18" s="83" t="s">
        <v>339</v>
      </c>
      <c r="E18" s="106">
        <v>692.6</v>
      </c>
      <c r="F18" s="14"/>
    </row>
    <row r="19" spans="1:6" ht="30" outlineLevel="2">
      <c r="A19" s="42"/>
      <c r="B19" s="87" t="s">
        <v>192</v>
      </c>
      <c r="C19" s="83" t="s">
        <v>1586</v>
      </c>
      <c r="D19" s="83" t="s">
        <v>783</v>
      </c>
      <c r="E19" s="106">
        <v>1470.65</v>
      </c>
      <c r="F19" s="14"/>
    </row>
    <row r="20" spans="1:6" ht="15" outlineLevel="2">
      <c r="A20" s="42"/>
      <c r="B20" s="87" t="s">
        <v>2</v>
      </c>
      <c r="C20" s="83" t="s">
        <v>1587</v>
      </c>
      <c r="D20" s="83" t="s">
        <v>1179</v>
      </c>
      <c r="E20" s="106">
        <v>45</v>
      </c>
      <c r="F20" s="14"/>
    </row>
    <row r="21" spans="1:6" ht="15" outlineLevel="2">
      <c r="A21" s="42"/>
      <c r="B21" s="87" t="s">
        <v>1199</v>
      </c>
      <c r="C21" s="83" t="s">
        <v>1587</v>
      </c>
      <c r="D21" s="83" t="s">
        <v>1143</v>
      </c>
      <c r="E21" s="106">
        <v>45.53</v>
      </c>
      <c r="F21" s="14"/>
    </row>
    <row r="22" spans="1:6" ht="30" outlineLevel="2">
      <c r="A22" s="42"/>
      <c r="B22" s="87" t="s">
        <v>1947</v>
      </c>
      <c r="C22" s="83" t="s">
        <v>1588</v>
      </c>
      <c r="D22" s="83" t="s">
        <v>1948</v>
      </c>
      <c r="E22" s="106">
        <v>5226</v>
      </c>
      <c r="F22" s="14"/>
    </row>
    <row r="23" spans="1:5" ht="12.75" customHeight="1" outlineLevel="1">
      <c r="A23" s="255" t="s">
        <v>1591</v>
      </c>
      <c r="B23" s="256"/>
      <c r="C23" s="256"/>
      <c r="D23" s="257"/>
      <c r="E23" s="105">
        <f>SUM(E24:E27)</f>
        <v>3640.69</v>
      </c>
    </row>
    <row r="24" spans="1:6" ht="15" outlineLevel="2">
      <c r="A24" s="42"/>
      <c r="B24" s="87" t="s">
        <v>2329</v>
      </c>
      <c r="C24" s="83" t="s">
        <v>1578</v>
      </c>
      <c r="D24" s="83" t="s">
        <v>474</v>
      </c>
      <c r="E24" s="106">
        <v>745.21</v>
      </c>
      <c r="F24" s="14"/>
    </row>
    <row r="25" spans="1:6" ht="15" outlineLevel="2">
      <c r="A25" s="42"/>
      <c r="B25" s="87" t="s">
        <v>661</v>
      </c>
      <c r="C25" s="83" t="s">
        <v>1578</v>
      </c>
      <c r="D25" s="83" t="s">
        <v>379</v>
      </c>
      <c r="E25" s="106">
        <v>1031.58</v>
      </c>
      <c r="F25" s="14"/>
    </row>
    <row r="26" spans="1:6" ht="15" outlineLevel="2">
      <c r="A26" s="42"/>
      <c r="B26" s="87" t="s">
        <v>484</v>
      </c>
      <c r="C26" s="83" t="s">
        <v>1580</v>
      </c>
      <c r="D26" s="83" t="s">
        <v>827</v>
      </c>
      <c r="E26" s="106">
        <v>874.9</v>
      </c>
      <c r="F26" s="14"/>
    </row>
    <row r="27" spans="1:6" ht="15" outlineLevel="2">
      <c r="A27" s="42"/>
      <c r="B27" s="87" t="s">
        <v>1526</v>
      </c>
      <c r="C27" s="83" t="s">
        <v>1585</v>
      </c>
      <c r="D27" s="83" t="s">
        <v>307</v>
      </c>
      <c r="E27" s="106">
        <v>989</v>
      </c>
      <c r="F27" s="14"/>
    </row>
    <row r="28" spans="1:5" ht="15" customHeight="1" outlineLevel="1">
      <c r="A28" s="255" t="s">
        <v>1594</v>
      </c>
      <c r="B28" s="256"/>
      <c r="C28" s="256"/>
      <c r="D28" s="257"/>
      <c r="E28" s="105">
        <f>SUM(E29:E32)</f>
        <v>87797.4</v>
      </c>
    </row>
    <row r="29" spans="1:6" ht="15" outlineLevel="2">
      <c r="A29" s="141"/>
      <c r="B29" s="88" t="s">
        <v>301</v>
      </c>
      <c r="C29" s="82" t="s">
        <v>1577</v>
      </c>
      <c r="D29" s="82" t="s">
        <v>302</v>
      </c>
      <c r="E29" s="106">
        <v>329.6</v>
      </c>
      <c r="F29" s="14"/>
    </row>
    <row r="30" spans="1:6" ht="15" outlineLevel="2">
      <c r="A30" s="42"/>
      <c r="B30" s="87" t="s">
        <v>2263</v>
      </c>
      <c r="C30" s="83" t="s">
        <v>1581</v>
      </c>
      <c r="D30" s="83" t="s">
        <v>2264</v>
      </c>
      <c r="E30" s="106">
        <v>61313</v>
      </c>
      <c r="F30" s="14"/>
    </row>
    <row r="31" spans="1:6" ht="15" outlineLevel="2">
      <c r="A31" s="42"/>
      <c r="B31" s="87" t="s">
        <v>1039</v>
      </c>
      <c r="C31" s="83" t="s">
        <v>1582</v>
      </c>
      <c r="D31" s="83" t="s">
        <v>1040</v>
      </c>
      <c r="E31" s="106">
        <v>8727.8</v>
      </c>
      <c r="F31" s="14"/>
    </row>
    <row r="32" spans="1:6" ht="15" outlineLevel="2">
      <c r="A32" s="42"/>
      <c r="B32" s="87" t="s">
        <v>1638</v>
      </c>
      <c r="C32" s="83" t="s">
        <v>1585</v>
      </c>
      <c r="D32" s="83" t="s">
        <v>1502</v>
      </c>
      <c r="E32" s="106">
        <v>17427</v>
      </c>
      <c r="F32" s="14"/>
    </row>
    <row r="33" spans="1:5" ht="15" customHeight="1" outlineLevel="1">
      <c r="A33" s="255" t="s">
        <v>1599</v>
      </c>
      <c r="B33" s="256"/>
      <c r="C33" s="256"/>
      <c r="D33" s="257"/>
      <c r="E33" s="105">
        <f>SUM(E34:E36)</f>
        <v>3396.69</v>
      </c>
    </row>
    <row r="34" spans="1:6" ht="15" outlineLevel="2">
      <c r="A34" s="42"/>
      <c r="B34" s="83" t="s">
        <v>1247</v>
      </c>
      <c r="C34" s="83" t="s">
        <v>1580</v>
      </c>
      <c r="D34" s="83" t="s">
        <v>1405</v>
      </c>
      <c r="E34" s="106">
        <v>1875.38</v>
      </c>
      <c r="F34" s="14"/>
    </row>
    <row r="35" spans="1:6" ht="15" outlineLevel="2">
      <c r="A35" s="42"/>
      <c r="B35" s="83" t="s">
        <v>38</v>
      </c>
      <c r="C35" s="83" t="s">
        <v>1582</v>
      </c>
      <c r="D35" s="83" t="s">
        <v>817</v>
      </c>
      <c r="E35" s="106">
        <v>1381.1</v>
      </c>
      <c r="F35" s="14"/>
    </row>
    <row r="36" spans="1:6" ht="12" customHeight="1" outlineLevel="2">
      <c r="A36" s="42"/>
      <c r="B36" s="83" t="s">
        <v>401</v>
      </c>
      <c r="C36" s="83" t="s">
        <v>1586</v>
      </c>
      <c r="D36" s="83" t="s">
        <v>402</v>
      </c>
      <c r="E36" s="106">
        <v>140.21</v>
      </c>
      <c r="F36" s="14"/>
    </row>
    <row r="37" spans="1:5" ht="12.75" customHeight="1" outlineLevel="1">
      <c r="A37" s="255" t="s">
        <v>1713</v>
      </c>
      <c r="B37" s="256"/>
      <c r="C37" s="256"/>
      <c r="D37" s="257"/>
      <c r="E37" s="105">
        <f>SUM(E38:E49)</f>
        <v>67068.48000000001</v>
      </c>
    </row>
    <row r="38" spans="1:6" ht="15" outlineLevel="2">
      <c r="A38" s="42"/>
      <c r="B38" s="82"/>
      <c r="C38" s="82" t="s">
        <v>1577</v>
      </c>
      <c r="D38" s="82" t="s">
        <v>1496</v>
      </c>
      <c r="E38" s="106">
        <v>5689.49</v>
      </c>
      <c r="F38" s="14"/>
    </row>
    <row r="39" spans="1:6" ht="15" outlineLevel="2">
      <c r="A39" s="42"/>
      <c r="B39" s="83"/>
      <c r="C39" s="83" t="s">
        <v>1578</v>
      </c>
      <c r="D39" s="83" t="s">
        <v>1496</v>
      </c>
      <c r="E39" s="106">
        <v>5689.49</v>
      </c>
      <c r="F39" s="14"/>
    </row>
    <row r="40" spans="1:6" ht="15" outlineLevel="2">
      <c r="A40" s="42"/>
      <c r="B40" s="83"/>
      <c r="C40" s="83" t="s">
        <v>1579</v>
      </c>
      <c r="D40" s="83" t="s">
        <v>1496</v>
      </c>
      <c r="E40" s="106">
        <v>5689.49</v>
      </c>
      <c r="F40" s="14"/>
    </row>
    <row r="41" spans="1:6" ht="15" outlineLevel="2">
      <c r="A41" s="42"/>
      <c r="B41" s="83"/>
      <c r="C41" s="83" t="s">
        <v>1580</v>
      </c>
      <c r="D41" s="83" t="s">
        <v>1496</v>
      </c>
      <c r="E41" s="106">
        <v>5689.49</v>
      </c>
      <c r="F41" s="14"/>
    </row>
    <row r="42" spans="1:6" ht="15" outlineLevel="2">
      <c r="A42" s="42"/>
      <c r="B42" s="83"/>
      <c r="C42" s="83" t="s">
        <v>1581</v>
      </c>
      <c r="D42" s="83" t="s">
        <v>1496</v>
      </c>
      <c r="E42" s="106">
        <v>5448.41</v>
      </c>
      <c r="F42" s="14"/>
    </row>
    <row r="43" spans="1:6" ht="15" outlineLevel="2">
      <c r="A43" s="42"/>
      <c r="B43" s="83"/>
      <c r="C43" s="83" t="s">
        <v>1582</v>
      </c>
      <c r="D43" s="83" t="s">
        <v>1496</v>
      </c>
      <c r="E43" s="106">
        <v>5448.41</v>
      </c>
      <c r="F43" s="14"/>
    </row>
    <row r="44" spans="1:6" ht="15" outlineLevel="2">
      <c r="A44" s="42"/>
      <c r="B44" s="83"/>
      <c r="C44" s="83" t="s">
        <v>1583</v>
      </c>
      <c r="D44" s="83" t="s">
        <v>1496</v>
      </c>
      <c r="E44" s="106">
        <v>5448.41</v>
      </c>
      <c r="F44" s="14"/>
    </row>
    <row r="45" spans="1:6" ht="15" outlineLevel="2">
      <c r="A45" s="42"/>
      <c r="B45" s="83"/>
      <c r="C45" s="83" t="s">
        <v>1584</v>
      </c>
      <c r="D45" s="83" t="s">
        <v>1496</v>
      </c>
      <c r="E45" s="106">
        <v>5448.41</v>
      </c>
      <c r="F45" s="14"/>
    </row>
    <row r="46" spans="1:6" ht="15" outlineLevel="2">
      <c r="A46" s="42"/>
      <c r="B46" s="83"/>
      <c r="C46" s="83" t="s">
        <v>1585</v>
      </c>
      <c r="D46" s="83" t="s">
        <v>1496</v>
      </c>
      <c r="E46" s="106">
        <v>5448.41</v>
      </c>
      <c r="F46" s="14"/>
    </row>
    <row r="47" spans="1:6" ht="15" outlineLevel="2">
      <c r="A47" s="42"/>
      <c r="B47" s="83"/>
      <c r="C47" s="83" t="s">
        <v>1586</v>
      </c>
      <c r="D47" s="83" t="s">
        <v>1496</v>
      </c>
      <c r="E47" s="106">
        <v>5689.49</v>
      </c>
      <c r="F47" s="14"/>
    </row>
    <row r="48" spans="1:6" ht="15" outlineLevel="2">
      <c r="A48" s="42"/>
      <c r="B48" s="83"/>
      <c r="C48" s="83" t="s">
        <v>1587</v>
      </c>
      <c r="D48" s="83" t="s">
        <v>1496</v>
      </c>
      <c r="E48" s="106">
        <v>5689.49</v>
      </c>
      <c r="F48" s="14"/>
    </row>
    <row r="49" spans="1:6" ht="15" outlineLevel="2">
      <c r="A49" s="42"/>
      <c r="B49" s="89"/>
      <c r="C49" s="83" t="s">
        <v>1588</v>
      </c>
      <c r="D49" s="83" t="s">
        <v>1496</v>
      </c>
      <c r="E49" s="106">
        <v>5689.49</v>
      </c>
      <c r="F49" s="14"/>
    </row>
    <row r="50" spans="1:5" ht="14.25" customHeight="1" outlineLevel="1">
      <c r="A50" s="255" t="s">
        <v>1714</v>
      </c>
      <c r="B50" s="256"/>
      <c r="C50" s="256"/>
      <c r="D50" s="257"/>
      <c r="E50" s="105">
        <f>1.46*1607.2*12</f>
        <v>28158.144</v>
      </c>
    </row>
    <row r="51" spans="1:5" ht="12.75" customHeight="1" outlineLevel="1">
      <c r="A51" s="255" t="s">
        <v>1715</v>
      </c>
      <c r="B51" s="256"/>
      <c r="C51" s="256"/>
      <c r="D51" s="257"/>
      <c r="E51" s="105">
        <f>SUM(E52:E67)</f>
        <v>6289.000000000001</v>
      </c>
    </row>
    <row r="52" spans="1:6" ht="15" outlineLevel="2">
      <c r="A52" s="42"/>
      <c r="B52" s="82" t="s">
        <v>2072</v>
      </c>
      <c r="C52" s="82" t="s">
        <v>1577</v>
      </c>
      <c r="D52" s="82" t="s">
        <v>2073</v>
      </c>
      <c r="E52" s="106">
        <v>75.5</v>
      </c>
      <c r="F52" s="14"/>
    </row>
    <row r="53" spans="1:6" ht="15" outlineLevel="2">
      <c r="A53" s="42"/>
      <c r="B53" s="83" t="s">
        <v>6</v>
      </c>
      <c r="C53" s="83" t="s">
        <v>1577</v>
      </c>
      <c r="D53" s="83" t="s">
        <v>1364</v>
      </c>
      <c r="E53" s="106">
        <v>711.82</v>
      </c>
      <c r="F53" s="14"/>
    </row>
    <row r="54" spans="1:6" ht="15" outlineLevel="2">
      <c r="A54" s="42"/>
      <c r="B54" s="83" t="s">
        <v>1480</v>
      </c>
      <c r="C54" s="83" t="s">
        <v>1578</v>
      </c>
      <c r="D54" s="83" t="s">
        <v>1500</v>
      </c>
      <c r="E54" s="106">
        <v>72</v>
      </c>
      <c r="F54" s="14"/>
    </row>
    <row r="55" spans="1:6" ht="15" outlineLevel="2">
      <c r="A55" s="42"/>
      <c r="B55" s="83" t="s">
        <v>1499</v>
      </c>
      <c r="C55" s="83" t="s">
        <v>1579</v>
      </c>
      <c r="D55" s="83" t="s">
        <v>1500</v>
      </c>
      <c r="E55" s="106">
        <v>65</v>
      </c>
      <c r="F55" s="14"/>
    </row>
    <row r="56" spans="1:6" ht="15" outlineLevel="2">
      <c r="A56" s="42"/>
      <c r="B56" s="83" t="s">
        <v>2132</v>
      </c>
      <c r="C56" s="83" t="s">
        <v>1579</v>
      </c>
      <c r="D56" s="83" t="s">
        <v>1500</v>
      </c>
      <c r="E56" s="106">
        <v>37.65</v>
      </c>
      <c r="F56" s="14"/>
    </row>
    <row r="57" spans="1:6" ht="15" outlineLevel="2">
      <c r="A57" s="42"/>
      <c r="B57" s="83" t="s">
        <v>2177</v>
      </c>
      <c r="C57" s="83" t="s">
        <v>1579</v>
      </c>
      <c r="D57" s="83" t="s">
        <v>1364</v>
      </c>
      <c r="E57" s="106">
        <v>764.7</v>
      </c>
      <c r="F57" s="14"/>
    </row>
    <row r="58" spans="1:6" ht="15" outlineLevel="2">
      <c r="A58" s="42"/>
      <c r="B58" s="83" t="s">
        <v>1687</v>
      </c>
      <c r="C58" s="83" t="s">
        <v>1582</v>
      </c>
      <c r="D58" s="83" t="s">
        <v>1005</v>
      </c>
      <c r="E58" s="106">
        <v>1688</v>
      </c>
      <c r="F58" s="14"/>
    </row>
    <row r="59" spans="1:6" ht="30" outlineLevel="2">
      <c r="A59" s="42"/>
      <c r="B59" s="83" t="s">
        <v>761</v>
      </c>
      <c r="C59" s="83" t="s">
        <v>1582</v>
      </c>
      <c r="D59" s="83" t="s">
        <v>762</v>
      </c>
      <c r="E59" s="106">
        <v>250</v>
      </c>
      <c r="F59" s="14"/>
    </row>
    <row r="60" spans="1:6" ht="15" outlineLevel="2">
      <c r="A60" s="42"/>
      <c r="B60" s="83" t="s">
        <v>53</v>
      </c>
      <c r="C60" s="83" t="s">
        <v>1583</v>
      </c>
      <c r="D60" s="83" t="s">
        <v>110</v>
      </c>
      <c r="E60" s="106">
        <v>435.95</v>
      </c>
      <c r="F60" s="14"/>
    </row>
    <row r="61" spans="1:6" ht="15" outlineLevel="2">
      <c r="A61" s="42"/>
      <c r="B61" s="83" t="s">
        <v>1033</v>
      </c>
      <c r="C61" s="83" t="s">
        <v>1584</v>
      </c>
      <c r="D61" s="83" t="s">
        <v>762</v>
      </c>
      <c r="E61" s="106">
        <v>621.49</v>
      </c>
      <c r="F61" s="14"/>
    </row>
    <row r="62" spans="1:6" ht="15" outlineLevel="2">
      <c r="A62" s="42"/>
      <c r="B62" s="83" t="s">
        <v>545</v>
      </c>
      <c r="C62" s="83" t="s">
        <v>1586</v>
      </c>
      <c r="D62" s="83" t="s">
        <v>1005</v>
      </c>
      <c r="E62" s="106">
        <v>585.23</v>
      </c>
      <c r="F62" s="14"/>
    </row>
    <row r="63" spans="1:6" ht="15" outlineLevel="2">
      <c r="A63" s="42"/>
      <c r="B63" s="83" t="s">
        <v>206</v>
      </c>
      <c r="C63" s="83" t="s">
        <v>1587</v>
      </c>
      <c r="D63" s="83" t="s">
        <v>207</v>
      </c>
      <c r="E63" s="106">
        <v>139.2</v>
      </c>
      <c r="F63" s="14"/>
    </row>
    <row r="64" spans="1:6" ht="15" outlineLevel="2">
      <c r="A64" s="42"/>
      <c r="B64" s="83" t="s">
        <v>1286</v>
      </c>
      <c r="C64" s="83" t="s">
        <v>1588</v>
      </c>
      <c r="D64" s="83" t="s">
        <v>1500</v>
      </c>
      <c r="E64" s="106">
        <v>49.6</v>
      </c>
      <c r="F64" s="14"/>
    </row>
    <row r="65" spans="1:6" ht="15" outlineLevel="2">
      <c r="A65" s="42"/>
      <c r="B65" s="83" t="s">
        <v>2003</v>
      </c>
      <c r="C65" s="83" t="s">
        <v>1588</v>
      </c>
      <c r="D65" s="83" t="s">
        <v>2073</v>
      </c>
      <c r="E65" s="106">
        <v>68.45</v>
      </c>
      <c r="F65" s="14"/>
    </row>
    <row r="66" spans="1:6" ht="15" outlineLevel="2">
      <c r="A66" s="42"/>
      <c r="B66" s="83" t="s">
        <v>1899</v>
      </c>
      <c r="C66" s="83" t="s">
        <v>1588</v>
      </c>
      <c r="D66" s="83" t="s">
        <v>1005</v>
      </c>
      <c r="E66" s="106">
        <v>322.1</v>
      </c>
      <c r="F66" s="14"/>
    </row>
    <row r="67" spans="1:6" ht="15" outlineLevel="2">
      <c r="A67" s="42"/>
      <c r="B67" s="83" t="s">
        <v>1958</v>
      </c>
      <c r="C67" s="83" t="s">
        <v>1588</v>
      </c>
      <c r="D67" s="83" t="s">
        <v>1960</v>
      </c>
      <c r="E67" s="106">
        <v>402.31</v>
      </c>
      <c r="F67" s="14"/>
    </row>
    <row r="68" spans="1:5" ht="15.75" customHeight="1" outlineLevel="1">
      <c r="A68" s="255" t="s">
        <v>1716</v>
      </c>
      <c r="B68" s="256"/>
      <c r="C68" s="256"/>
      <c r="D68" s="257"/>
      <c r="E68" s="105">
        <f>SUM(E69:E69)</f>
        <v>950</v>
      </c>
    </row>
    <row r="69" spans="1:6" ht="15" outlineLevel="2">
      <c r="A69" s="42"/>
      <c r="B69" s="83" t="s">
        <v>55</v>
      </c>
      <c r="C69" s="83" t="s">
        <v>1584</v>
      </c>
      <c r="D69" s="83" t="s">
        <v>933</v>
      </c>
      <c r="E69" s="106">
        <v>950</v>
      </c>
      <c r="F69" s="14"/>
    </row>
    <row r="70" spans="1:5" ht="16.5" customHeight="1" outlineLevel="1">
      <c r="A70" s="255" t="s">
        <v>1595</v>
      </c>
      <c r="B70" s="256"/>
      <c r="C70" s="256"/>
      <c r="D70" s="257"/>
      <c r="E70" s="105">
        <f>SUM(E71:E74)</f>
        <v>5311.02</v>
      </c>
    </row>
    <row r="71" spans="1:6" ht="15" outlineLevel="2">
      <c r="A71" s="42"/>
      <c r="B71" s="83" t="s">
        <v>1026</v>
      </c>
      <c r="C71" s="83" t="s">
        <v>1580</v>
      </c>
      <c r="D71" s="83" t="s">
        <v>418</v>
      </c>
      <c r="E71" s="106">
        <v>153.5</v>
      </c>
      <c r="F71" s="14"/>
    </row>
    <row r="72" spans="1:6" ht="15.75" customHeight="1" outlineLevel="2">
      <c r="A72" s="42"/>
      <c r="B72" s="83" t="s">
        <v>2371</v>
      </c>
      <c r="C72" s="83" t="s">
        <v>1586</v>
      </c>
      <c r="D72" s="83" t="s">
        <v>944</v>
      </c>
      <c r="E72" s="106">
        <v>898.21</v>
      </c>
      <c r="F72" s="14"/>
    </row>
    <row r="73" spans="1:6" ht="15" outlineLevel="2">
      <c r="A73" s="42"/>
      <c r="B73" s="83" t="s">
        <v>2284</v>
      </c>
      <c r="C73" s="83" t="s">
        <v>1587</v>
      </c>
      <c r="D73" s="83" t="s">
        <v>2285</v>
      </c>
      <c r="E73" s="106">
        <v>3908.71</v>
      </c>
      <c r="F73" s="14"/>
    </row>
    <row r="74" spans="1:6" ht="16.5" customHeight="1" outlineLevel="2">
      <c r="A74" s="42"/>
      <c r="B74" s="83" t="s">
        <v>990</v>
      </c>
      <c r="C74" s="83" t="s">
        <v>1588</v>
      </c>
      <c r="D74" s="83" t="s">
        <v>991</v>
      </c>
      <c r="E74" s="106">
        <v>350.6</v>
      </c>
      <c r="F74" s="14"/>
    </row>
    <row r="75" spans="1:5" ht="11.25" customHeight="1" outlineLevel="1">
      <c r="A75" s="255" t="s">
        <v>1718</v>
      </c>
      <c r="B75" s="256"/>
      <c r="C75" s="256"/>
      <c r="D75" s="257"/>
      <c r="E75" s="105">
        <f>SUM(E76:E80)</f>
        <v>4505.3099999999995</v>
      </c>
    </row>
    <row r="76" spans="1:6" ht="15" outlineLevel="2">
      <c r="A76" s="42"/>
      <c r="B76" s="82" t="s">
        <v>2</v>
      </c>
      <c r="C76" s="82" t="s">
        <v>1577</v>
      </c>
      <c r="D76" s="82" t="s">
        <v>1897</v>
      </c>
      <c r="E76" s="106">
        <v>827.58</v>
      </c>
      <c r="F76" s="14"/>
    </row>
    <row r="77" spans="1:6" ht="15" outlineLevel="2">
      <c r="A77" s="42"/>
      <c r="B77" s="83" t="s">
        <v>425</v>
      </c>
      <c r="C77" s="83" t="s">
        <v>1579</v>
      </c>
      <c r="D77" s="83" t="s">
        <v>212</v>
      </c>
      <c r="E77" s="106">
        <v>2615.31</v>
      </c>
      <c r="F77" s="14"/>
    </row>
    <row r="78" spans="1:6" ht="15" outlineLevel="2">
      <c r="A78" s="42"/>
      <c r="B78" s="83" t="s">
        <v>2</v>
      </c>
      <c r="C78" s="83" t="s">
        <v>57</v>
      </c>
      <c r="D78" s="83" t="s">
        <v>721</v>
      </c>
      <c r="E78" s="106">
        <v>120.73</v>
      </c>
      <c r="F78" s="14"/>
    </row>
    <row r="79" spans="1:6" ht="15" outlineLevel="2">
      <c r="A79" s="42"/>
      <c r="B79" s="83" t="s">
        <v>2</v>
      </c>
      <c r="C79" s="83" t="s">
        <v>1581</v>
      </c>
      <c r="D79" s="83" t="s">
        <v>2390</v>
      </c>
      <c r="E79" s="106">
        <v>807.29</v>
      </c>
      <c r="F79" s="14"/>
    </row>
    <row r="80" spans="1:6" ht="15" outlineLevel="2">
      <c r="A80" s="42"/>
      <c r="B80" s="84" t="s">
        <v>2</v>
      </c>
      <c r="C80" s="84" t="s">
        <v>57</v>
      </c>
      <c r="D80" s="84" t="s">
        <v>936</v>
      </c>
      <c r="E80" s="106">
        <v>134.4</v>
      </c>
      <c r="F80" s="14"/>
    </row>
    <row r="81" spans="1:6" ht="12.75" customHeight="1" outlineLevel="2">
      <c r="A81" s="255" t="s">
        <v>0</v>
      </c>
      <c r="B81" s="256"/>
      <c r="C81" s="256"/>
      <c r="D81" s="257"/>
      <c r="E81" s="105">
        <f>0.1*1607.2*12</f>
        <v>1928.6400000000003</v>
      </c>
      <c r="F81" s="14"/>
    </row>
    <row r="82" spans="1:6" ht="14.25" customHeight="1" outlineLevel="2">
      <c r="A82" s="255" t="s">
        <v>1369</v>
      </c>
      <c r="B82" s="256"/>
      <c r="C82" s="256"/>
      <c r="D82" s="257"/>
      <c r="E82" s="105">
        <v>3166.66</v>
      </c>
      <c r="F82" s="14"/>
    </row>
    <row r="83" spans="1:6" ht="15">
      <c r="A83" s="42"/>
      <c r="B83" s="273" t="s">
        <v>255</v>
      </c>
      <c r="C83" s="273"/>
      <c r="D83" s="273"/>
      <c r="E83" s="43">
        <f>0.94*1607.2*12</f>
        <v>18129.216</v>
      </c>
      <c r="F83" s="26"/>
    </row>
    <row r="84" spans="1:6" ht="15">
      <c r="A84" s="42"/>
      <c r="B84" s="270" t="s">
        <v>59</v>
      </c>
      <c r="C84" s="270"/>
      <c r="D84" s="270"/>
      <c r="E84" s="43">
        <f>1.57*1607.2*12</f>
        <v>30279.648</v>
      </c>
      <c r="F84" s="14"/>
    </row>
    <row r="85" spans="1:6" ht="15">
      <c r="A85" s="42"/>
      <c r="B85" s="270" t="s">
        <v>256</v>
      </c>
      <c r="C85" s="270"/>
      <c r="D85" s="270"/>
      <c r="E85" s="43">
        <f>10.3*(E87+E88)/100</f>
        <v>42610.51908</v>
      </c>
      <c r="F85" s="14"/>
    </row>
    <row r="86" spans="1:5" ht="15">
      <c r="A86" s="42">
        <v>1</v>
      </c>
      <c r="B86" s="272" t="s">
        <v>659</v>
      </c>
      <c r="C86" s="272"/>
      <c r="D86" s="272"/>
      <c r="E86" s="44">
        <f>E85+E84+E83+E8+E3</f>
        <v>384213.00708</v>
      </c>
    </row>
    <row r="87" spans="1:6" ht="15">
      <c r="A87" s="42">
        <v>2</v>
      </c>
      <c r="B87" s="270" t="s">
        <v>258</v>
      </c>
      <c r="C87" s="270"/>
      <c r="D87" s="270"/>
      <c r="E87" s="43">
        <v>363549.72</v>
      </c>
      <c r="F87" s="14"/>
    </row>
    <row r="88" spans="1:5" ht="15">
      <c r="A88" s="42">
        <v>3</v>
      </c>
      <c r="B88" s="270" t="s">
        <v>259</v>
      </c>
      <c r="C88" s="270"/>
      <c r="D88" s="270"/>
      <c r="E88" s="43">
        <v>50144.64</v>
      </c>
    </row>
    <row r="89" spans="1:5" ht="15">
      <c r="A89" s="42">
        <v>4</v>
      </c>
      <c r="B89" s="270" t="s">
        <v>660</v>
      </c>
      <c r="C89" s="270"/>
      <c r="D89" s="270"/>
      <c r="E89" s="43">
        <v>1124422.89</v>
      </c>
    </row>
    <row r="90" spans="1:5" ht="15">
      <c r="A90" s="42">
        <v>5</v>
      </c>
      <c r="B90" s="270" t="s">
        <v>2340</v>
      </c>
      <c r="C90" s="270"/>
      <c r="D90" s="270"/>
      <c r="E90" s="43">
        <v>897457.35</v>
      </c>
    </row>
    <row r="91" spans="1:5" ht="15">
      <c r="A91" s="42">
        <v>6</v>
      </c>
      <c r="B91" s="272" t="s">
        <v>2341</v>
      </c>
      <c r="C91" s="272"/>
      <c r="D91" s="272"/>
      <c r="E91" s="44">
        <f>'[5]Комсомольский 32'!$E$68+E86</f>
        <v>1114095.4470799998</v>
      </c>
    </row>
    <row r="92" spans="1:5" ht="15">
      <c r="A92" s="42">
        <v>7</v>
      </c>
      <c r="B92" s="270" t="s">
        <v>732</v>
      </c>
      <c r="C92" s="270"/>
      <c r="D92" s="270"/>
      <c r="E92" s="43">
        <v>156601.4</v>
      </c>
    </row>
    <row r="93" spans="1:5" ht="15">
      <c r="A93" s="42">
        <v>8</v>
      </c>
      <c r="B93" s="270" t="s">
        <v>733</v>
      </c>
      <c r="C93" s="270"/>
      <c r="D93" s="270"/>
      <c r="E93" s="43">
        <v>124976.6</v>
      </c>
    </row>
    <row r="94" spans="1:5" ht="15">
      <c r="A94" s="42">
        <v>9</v>
      </c>
      <c r="B94" s="272" t="s">
        <v>734</v>
      </c>
      <c r="C94" s="272"/>
      <c r="D94" s="272"/>
      <c r="E94" s="44">
        <f>'[5]Комсомольский 32'!$E$69</f>
        <v>106843.59</v>
      </c>
    </row>
    <row r="95" spans="1:5" ht="15">
      <c r="A95" s="42">
        <v>10</v>
      </c>
      <c r="B95" s="270" t="s">
        <v>260</v>
      </c>
      <c r="C95" s="270"/>
      <c r="D95" s="270"/>
      <c r="E95" s="43">
        <v>309039.14</v>
      </c>
    </row>
    <row r="96" spans="1:5" ht="15">
      <c r="A96" s="42">
        <v>11</v>
      </c>
      <c r="B96" s="270" t="s">
        <v>735</v>
      </c>
      <c r="C96" s="270"/>
      <c r="D96" s="270"/>
      <c r="E96" s="43">
        <v>42625.97</v>
      </c>
    </row>
    <row r="97" spans="1:5" ht="15">
      <c r="A97" s="42">
        <v>12</v>
      </c>
      <c r="B97" s="272" t="s">
        <v>736</v>
      </c>
      <c r="C97" s="272"/>
      <c r="D97" s="272"/>
      <c r="E97" s="44">
        <v>0</v>
      </c>
    </row>
    <row r="98" spans="1:5" ht="18" customHeight="1">
      <c r="A98" s="42">
        <v>13</v>
      </c>
      <c r="B98" s="271" t="s">
        <v>737</v>
      </c>
      <c r="C98" s="271"/>
      <c r="D98" s="271"/>
      <c r="E98" s="45">
        <f>E89-E91</f>
        <v>10327.44292000006</v>
      </c>
    </row>
    <row r="99" spans="1:5" ht="18" customHeight="1">
      <c r="A99" s="42">
        <v>14</v>
      </c>
      <c r="B99" s="271" t="s">
        <v>738</v>
      </c>
      <c r="C99" s="271"/>
      <c r="D99" s="271"/>
      <c r="E99" s="45">
        <f>E92-E94</f>
        <v>49757.81</v>
      </c>
    </row>
    <row r="100" spans="1:5" ht="28.5" customHeight="1">
      <c r="A100" s="42">
        <v>15</v>
      </c>
      <c r="B100" s="271" t="s">
        <v>2273</v>
      </c>
      <c r="C100" s="271"/>
      <c r="D100" s="271"/>
      <c r="E100" s="45">
        <f>E90-E91</f>
        <v>-216638.09707999986</v>
      </c>
    </row>
    <row r="101" ht="12.75">
      <c r="E101" s="39"/>
    </row>
    <row r="102" spans="1:5" ht="51">
      <c r="A102" s="12" t="s">
        <v>492</v>
      </c>
      <c r="E102" s="39"/>
    </row>
    <row r="103" spans="1:5" ht="51">
      <c r="A103" s="12" t="s">
        <v>493</v>
      </c>
      <c r="E103" s="39"/>
    </row>
    <row r="104" spans="1:5" ht="89.25">
      <c r="A104" s="12" t="s">
        <v>494</v>
      </c>
      <c r="E104" s="39"/>
    </row>
    <row r="105" spans="1:5" ht="51">
      <c r="A105" s="12" t="s">
        <v>495</v>
      </c>
      <c r="E105" s="39"/>
    </row>
  </sheetData>
  <sheetProtection/>
  <mergeCells count="36">
    <mergeCell ref="A1:E1"/>
    <mergeCell ref="A4:D4"/>
    <mergeCell ref="A6:D6"/>
    <mergeCell ref="A9:D9"/>
    <mergeCell ref="B3:C3"/>
    <mergeCell ref="B8:C8"/>
    <mergeCell ref="B89:D89"/>
    <mergeCell ref="B87:D87"/>
    <mergeCell ref="A15:D15"/>
    <mergeCell ref="A23:D23"/>
    <mergeCell ref="A28:D28"/>
    <mergeCell ref="A81:D81"/>
    <mergeCell ref="A33:D33"/>
    <mergeCell ref="A37:D37"/>
    <mergeCell ref="A50:D50"/>
    <mergeCell ref="A68:D68"/>
    <mergeCell ref="A51:D51"/>
    <mergeCell ref="A75:D75"/>
    <mergeCell ref="A70:D70"/>
    <mergeCell ref="B100:D100"/>
    <mergeCell ref="B92:D92"/>
    <mergeCell ref="B93:D93"/>
    <mergeCell ref="B94:D94"/>
    <mergeCell ref="B95:D95"/>
    <mergeCell ref="B98:D98"/>
    <mergeCell ref="B91:D91"/>
    <mergeCell ref="B99:D99"/>
    <mergeCell ref="B97:D97"/>
    <mergeCell ref="B96:D96"/>
    <mergeCell ref="A82:D82"/>
    <mergeCell ref="B88:D88"/>
    <mergeCell ref="B85:D85"/>
    <mergeCell ref="B83:D83"/>
    <mergeCell ref="B84:D84"/>
    <mergeCell ref="B86:D86"/>
    <mergeCell ref="B90:D90"/>
  </mergeCells>
  <printOptions/>
  <pageMargins left="0.2362204724409449" right="0.15748031496062992" top="0.2362204724409449" bottom="0.2362204724409449" header="0.15748031496062992" footer="0.1574803149606299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8"/>
  <sheetViews>
    <sheetView zoomScalePageLayoutView="0" workbookViewId="0" topLeftCell="A1">
      <selection activeCell="E113" sqref="A1:E113"/>
    </sheetView>
  </sheetViews>
  <sheetFormatPr defaultColWidth="13.421875" defaultRowHeight="12.75" outlineLevelRow="2"/>
  <cols>
    <col min="1" max="1" width="1.421875" style="1" customWidth="1"/>
    <col min="2" max="2" width="11.8515625" style="1" customWidth="1"/>
    <col min="3" max="3" width="14.7109375" style="1" customWidth="1"/>
    <col min="4" max="4" width="69.1406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315" t="s">
        <v>1873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5">
      <c r="A3" s="91"/>
      <c r="B3" s="308"/>
      <c r="C3" s="308"/>
      <c r="D3" s="155" t="s">
        <v>1575</v>
      </c>
      <c r="E3" s="130">
        <f>E4</f>
        <v>8089.09</v>
      </c>
    </row>
    <row r="4" spans="1:5" ht="12.75" customHeight="1" outlineLevel="1">
      <c r="A4" s="255" t="s">
        <v>1595</v>
      </c>
      <c r="B4" s="256"/>
      <c r="C4" s="256"/>
      <c r="D4" s="257"/>
      <c r="E4" s="105">
        <f>SUM(E5:E5)</f>
        <v>8089.09</v>
      </c>
    </row>
    <row r="5" spans="1:6" ht="15" outlineLevel="2">
      <c r="A5" s="81"/>
      <c r="B5" s="84" t="s">
        <v>2399</v>
      </c>
      <c r="C5" s="84" t="s">
        <v>1580</v>
      </c>
      <c r="D5" s="84" t="s">
        <v>2400</v>
      </c>
      <c r="E5" s="106">
        <v>8089.09</v>
      </c>
      <c r="F5" s="14"/>
    </row>
    <row r="6" spans="1:5" ht="13.5" customHeight="1">
      <c r="A6" s="91"/>
      <c r="B6" s="308"/>
      <c r="C6" s="308"/>
      <c r="D6" s="155" t="s">
        <v>1600</v>
      </c>
      <c r="E6" s="130">
        <f>E7+E16+E19+E36+E41+E43+E49+E62+E63+E69+E72+E75+E86+E93+E94</f>
        <v>233260.078</v>
      </c>
    </row>
    <row r="7" spans="1:5" ht="15" outlineLevel="1">
      <c r="A7" s="255" t="s">
        <v>1576</v>
      </c>
      <c r="B7" s="256"/>
      <c r="C7" s="256"/>
      <c r="D7" s="257"/>
      <c r="E7" s="105">
        <f>SUM(E8:E15)</f>
        <v>6678.740000000001</v>
      </c>
    </row>
    <row r="8" spans="1:6" ht="15" outlineLevel="2">
      <c r="A8" s="42"/>
      <c r="B8" s="83" t="s">
        <v>2</v>
      </c>
      <c r="C8" s="83" t="s">
        <v>1580</v>
      </c>
      <c r="D8" s="83" t="s">
        <v>2277</v>
      </c>
      <c r="E8" s="106">
        <v>59.95</v>
      </c>
      <c r="F8" s="14"/>
    </row>
    <row r="9" spans="1:6" ht="15" outlineLevel="2">
      <c r="A9" s="42"/>
      <c r="B9" s="83" t="s">
        <v>1489</v>
      </c>
      <c r="C9" s="83" t="s">
        <v>1580</v>
      </c>
      <c r="D9" s="83" t="s">
        <v>1620</v>
      </c>
      <c r="E9" s="106">
        <v>126.58</v>
      </c>
      <c r="F9" s="14"/>
    </row>
    <row r="10" spans="1:6" ht="15" outlineLevel="2">
      <c r="A10" s="42"/>
      <c r="B10" s="83" t="s">
        <v>180</v>
      </c>
      <c r="C10" s="83" t="s">
        <v>1580</v>
      </c>
      <c r="D10" s="83" t="s">
        <v>1620</v>
      </c>
      <c r="E10" s="106">
        <v>142.78</v>
      </c>
      <c r="F10" s="14"/>
    </row>
    <row r="11" spans="1:6" ht="28.5" customHeight="1" outlineLevel="2">
      <c r="A11" s="42"/>
      <c r="B11" s="83" t="s">
        <v>508</v>
      </c>
      <c r="C11" s="83" t="s">
        <v>1582</v>
      </c>
      <c r="D11" s="83" t="s">
        <v>509</v>
      </c>
      <c r="E11" s="106">
        <v>281.71</v>
      </c>
      <c r="F11" s="14"/>
    </row>
    <row r="12" spans="1:6" ht="15" outlineLevel="2">
      <c r="A12" s="42"/>
      <c r="B12" s="83" t="s">
        <v>1033</v>
      </c>
      <c r="C12" s="83" t="s">
        <v>1583</v>
      </c>
      <c r="D12" s="83" t="s">
        <v>509</v>
      </c>
      <c r="E12" s="106">
        <v>2423.07</v>
      </c>
      <c r="F12" s="14"/>
    </row>
    <row r="13" spans="1:6" ht="15" outlineLevel="2">
      <c r="A13" s="42"/>
      <c r="B13" s="83" t="s">
        <v>2</v>
      </c>
      <c r="C13" s="83" t="s">
        <v>1583</v>
      </c>
      <c r="D13" s="83" t="s">
        <v>855</v>
      </c>
      <c r="E13" s="106">
        <v>80.15</v>
      </c>
      <c r="F13" s="14"/>
    </row>
    <row r="14" spans="1:6" ht="30" outlineLevel="2">
      <c r="A14" s="42"/>
      <c r="B14" s="83" t="s">
        <v>332</v>
      </c>
      <c r="C14" s="83" t="s">
        <v>1586</v>
      </c>
      <c r="D14" s="83" t="s">
        <v>333</v>
      </c>
      <c r="E14" s="106">
        <v>1897.2</v>
      </c>
      <c r="F14" s="14"/>
    </row>
    <row r="15" spans="1:6" ht="45" customHeight="1" outlineLevel="2">
      <c r="A15" s="42"/>
      <c r="B15" s="84" t="s">
        <v>293</v>
      </c>
      <c r="C15" s="83" t="s">
        <v>1588</v>
      </c>
      <c r="D15" s="84" t="s">
        <v>435</v>
      </c>
      <c r="E15" s="153">
        <v>1667.3</v>
      </c>
      <c r="F15" s="14"/>
    </row>
    <row r="16" spans="1:5" ht="15" outlineLevel="1">
      <c r="A16" s="255" t="s">
        <v>1589</v>
      </c>
      <c r="B16" s="256"/>
      <c r="C16" s="256"/>
      <c r="D16" s="257"/>
      <c r="E16" s="105">
        <f>SUM(E17:E18)</f>
        <v>7763.24</v>
      </c>
    </row>
    <row r="17" spans="1:6" ht="30" outlineLevel="2">
      <c r="A17" s="42"/>
      <c r="B17" s="82" t="s">
        <v>2205</v>
      </c>
      <c r="C17" s="82" t="s">
        <v>1577</v>
      </c>
      <c r="D17" s="82" t="s">
        <v>2223</v>
      </c>
      <c r="E17" s="106">
        <v>2499.72</v>
      </c>
      <c r="F17" s="14"/>
    </row>
    <row r="18" spans="1:6" ht="15" outlineLevel="2">
      <c r="A18" s="42"/>
      <c r="B18" s="83" t="s">
        <v>42</v>
      </c>
      <c r="C18" s="83" t="s">
        <v>1583</v>
      </c>
      <c r="D18" s="83" t="s">
        <v>1855</v>
      </c>
      <c r="E18" s="106">
        <v>5263.52</v>
      </c>
      <c r="F18" s="14"/>
    </row>
    <row r="19" spans="1:5" ht="12.75" customHeight="1" outlineLevel="1">
      <c r="A19" s="255" t="s">
        <v>1590</v>
      </c>
      <c r="B19" s="256"/>
      <c r="C19" s="256"/>
      <c r="D19" s="257"/>
      <c r="E19" s="105">
        <f>SUM(E20:E35)</f>
        <v>27091.269999999997</v>
      </c>
    </row>
    <row r="20" spans="1:6" ht="15" outlineLevel="2">
      <c r="A20" s="42"/>
      <c r="B20" s="88" t="s">
        <v>2203</v>
      </c>
      <c r="C20" s="82" t="s">
        <v>1577</v>
      </c>
      <c r="D20" s="82" t="s">
        <v>2204</v>
      </c>
      <c r="E20" s="106">
        <v>4496.93</v>
      </c>
      <c r="F20" s="14"/>
    </row>
    <row r="21" spans="1:6" ht="15" outlineLevel="2">
      <c r="A21" s="42"/>
      <c r="B21" s="87" t="s">
        <v>2</v>
      </c>
      <c r="C21" s="83" t="s">
        <v>1577</v>
      </c>
      <c r="D21" s="83" t="s">
        <v>1507</v>
      </c>
      <c r="E21" s="106">
        <v>100.31</v>
      </c>
      <c r="F21" s="14"/>
    </row>
    <row r="22" spans="1:6" ht="15" outlineLevel="2">
      <c r="A22" s="42"/>
      <c r="B22" s="87" t="s">
        <v>836</v>
      </c>
      <c r="C22" s="83" t="s">
        <v>1580</v>
      </c>
      <c r="D22" s="83" t="s">
        <v>1063</v>
      </c>
      <c r="E22" s="106">
        <v>4565.5</v>
      </c>
      <c r="F22" s="14"/>
    </row>
    <row r="23" spans="1:6" ht="15" outlineLevel="2">
      <c r="A23" s="42"/>
      <c r="B23" s="87" t="s">
        <v>836</v>
      </c>
      <c r="C23" s="83" t="s">
        <v>1580</v>
      </c>
      <c r="D23" s="83" t="s">
        <v>1118</v>
      </c>
      <c r="E23" s="106">
        <v>1008.63</v>
      </c>
      <c r="F23" s="14"/>
    </row>
    <row r="24" spans="1:6" ht="15" outlineLevel="2">
      <c r="A24" s="42"/>
      <c r="B24" s="87" t="s">
        <v>137</v>
      </c>
      <c r="C24" s="83" t="s">
        <v>1580</v>
      </c>
      <c r="D24" s="83" t="s">
        <v>1037</v>
      </c>
      <c r="E24" s="106">
        <v>894.82</v>
      </c>
      <c r="F24" s="14"/>
    </row>
    <row r="25" spans="1:6" ht="15" outlineLevel="2">
      <c r="A25" s="42"/>
      <c r="B25" s="87" t="s">
        <v>1708</v>
      </c>
      <c r="C25" s="83" t="s">
        <v>1581</v>
      </c>
      <c r="D25" s="83" t="s">
        <v>1392</v>
      </c>
      <c r="E25" s="106">
        <v>84.15</v>
      </c>
      <c r="F25" s="14"/>
    </row>
    <row r="26" spans="1:6" ht="15" outlineLevel="2">
      <c r="A26" s="42"/>
      <c r="B26" s="87" t="s">
        <v>1689</v>
      </c>
      <c r="C26" s="83" t="s">
        <v>1582</v>
      </c>
      <c r="D26" s="83" t="s">
        <v>2406</v>
      </c>
      <c r="E26" s="106">
        <v>99.27</v>
      </c>
      <c r="F26" s="14"/>
    </row>
    <row r="27" spans="1:6" ht="15" outlineLevel="2">
      <c r="A27" s="42"/>
      <c r="B27" s="87" t="s">
        <v>1689</v>
      </c>
      <c r="C27" s="83" t="s">
        <v>1582</v>
      </c>
      <c r="D27" s="83" t="s">
        <v>2408</v>
      </c>
      <c r="E27" s="106">
        <v>383.67</v>
      </c>
      <c r="F27" s="14"/>
    </row>
    <row r="28" spans="1:6" ht="35.25" customHeight="1" outlineLevel="2">
      <c r="A28" s="42"/>
      <c r="B28" s="87" t="s">
        <v>928</v>
      </c>
      <c r="C28" s="83" t="s">
        <v>1584</v>
      </c>
      <c r="D28" s="83" t="s">
        <v>760</v>
      </c>
      <c r="E28" s="106">
        <v>5627.7</v>
      </c>
      <c r="F28" s="14"/>
    </row>
    <row r="29" spans="1:6" ht="15" outlineLevel="2">
      <c r="A29" s="42"/>
      <c r="B29" s="87" t="s">
        <v>1249</v>
      </c>
      <c r="C29" s="83" t="s">
        <v>1581</v>
      </c>
      <c r="D29" s="83" t="s">
        <v>218</v>
      </c>
      <c r="E29" s="106">
        <v>84.48</v>
      </c>
      <c r="F29" s="14"/>
    </row>
    <row r="30" spans="1:6" ht="15" outlineLevel="2">
      <c r="A30" s="42"/>
      <c r="B30" s="87" t="s">
        <v>1494</v>
      </c>
      <c r="C30" s="83" t="s">
        <v>1581</v>
      </c>
      <c r="D30" s="83" t="s">
        <v>2259</v>
      </c>
      <c r="E30" s="106">
        <v>165.84</v>
      </c>
      <c r="F30" s="14"/>
    </row>
    <row r="31" spans="1:6" ht="30" outlineLevel="2">
      <c r="A31" s="42"/>
      <c r="B31" s="87" t="s">
        <v>2375</v>
      </c>
      <c r="C31" s="83" t="s">
        <v>1585</v>
      </c>
      <c r="D31" s="83" t="s">
        <v>579</v>
      </c>
      <c r="E31" s="106">
        <v>6678.78</v>
      </c>
      <c r="F31" s="14"/>
    </row>
    <row r="32" spans="1:6" ht="15" outlineLevel="2">
      <c r="A32" s="42"/>
      <c r="B32" s="87" t="s">
        <v>1349</v>
      </c>
      <c r="C32" s="83" t="s">
        <v>1586</v>
      </c>
      <c r="D32" s="83" t="s">
        <v>1350</v>
      </c>
      <c r="E32" s="106">
        <v>1340.01</v>
      </c>
      <c r="F32" s="14"/>
    </row>
    <row r="33" spans="1:6" ht="30" outlineLevel="2">
      <c r="A33" s="42"/>
      <c r="B33" s="87" t="s">
        <v>192</v>
      </c>
      <c r="C33" s="83" t="s">
        <v>1586</v>
      </c>
      <c r="D33" s="83" t="s">
        <v>783</v>
      </c>
      <c r="E33" s="106">
        <v>1470.65</v>
      </c>
      <c r="F33" s="14"/>
    </row>
    <row r="34" spans="1:6" ht="15" outlineLevel="2">
      <c r="A34" s="42"/>
      <c r="B34" s="87" t="s">
        <v>2</v>
      </c>
      <c r="C34" s="83" t="s">
        <v>1587</v>
      </c>
      <c r="D34" s="83" t="s">
        <v>1179</v>
      </c>
      <c r="E34" s="106">
        <v>45</v>
      </c>
      <c r="F34" s="14"/>
    </row>
    <row r="35" spans="1:6" ht="15" outlineLevel="2">
      <c r="A35" s="42"/>
      <c r="B35" s="87" t="s">
        <v>1199</v>
      </c>
      <c r="C35" s="83" t="s">
        <v>1587</v>
      </c>
      <c r="D35" s="83" t="s">
        <v>1141</v>
      </c>
      <c r="E35" s="106">
        <v>45.53</v>
      </c>
      <c r="F35" s="14"/>
    </row>
    <row r="36" spans="1:5" ht="13.5" customHeight="1" outlineLevel="1">
      <c r="A36" s="255" t="s">
        <v>1591</v>
      </c>
      <c r="B36" s="256"/>
      <c r="C36" s="256"/>
      <c r="D36" s="257"/>
      <c r="E36" s="105">
        <f>SUM(E37:E40)</f>
        <v>8183.01</v>
      </c>
    </row>
    <row r="37" spans="1:6" ht="29.25" customHeight="1" outlineLevel="2">
      <c r="A37" s="42"/>
      <c r="B37" s="87" t="s">
        <v>7</v>
      </c>
      <c r="C37" s="83" t="s">
        <v>1578</v>
      </c>
      <c r="D37" s="83" t="s">
        <v>764</v>
      </c>
      <c r="E37" s="106">
        <v>2917.97</v>
      </c>
      <c r="F37" s="14"/>
    </row>
    <row r="38" spans="1:6" ht="15" outlineLevel="2">
      <c r="A38" s="42"/>
      <c r="B38" s="87" t="s">
        <v>2180</v>
      </c>
      <c r="C38" s="83" t="s">
        <v>1578</v>
      </c>
      <c r="D38" s="83" t="s">
        <v>2228</v>
      </c>
      <c r="E38" s="106">
        <v>1074.08</v>
      </c>
      <c r="F38" s="14"/>
    </row>
    <row r="39" spans="1:6" ht="15" outlineLevel="2">
      <c r="A39" s="42"/>
      <c r="B39" s="87" t="s">
        <v>93</v>
      </c>
      <c r="C39" s="83" t="s">
        <v>1580</v>
      </c>
      <c r="D39" s="83" t="s">
        <v>1871</v>
      </c>
      <c r="E39" s="106">
        <v>1332.23</v>
      </c>
      <c r="F39" s="14"/>
    </row>
    <row r="40" spans="1:6" ht="15" outlineLevel="2">
      <c r="A40" s="42"/>
      <c r="B40" s="87" t="s">
        <v>100</v>
      </c>
      <c r="C40" s="83" t="s">
        <v>1581</v>
      </c>
      <c r="D40" s="83" t="s">
        <v>614</v>
      </c>
      <c r="E40" s="106">
        <v>2858.73</v>
      </c>
      <c r="F40" s="14"/>
    </row>
    <row r="41" spans="1:5" ht="14.25" customHeight="1" outlineLevel="1">
      <c r="A41" s="255" t="s">
        <v>1594</v>
      </c>
      <c r="B41" s="256"/>
      <c r="C41" s="256"/>
      <c r="D41" s="257"/>
      <c r="E41" s="105">
        <f>SUM(E42:E42)</f>
        <v>13507.63</v>
      </c>
    </row>
    <row r="42" spans="1:6" ht="15" outlineLevel="2">
      <c r="A42" s="42"/>
      <c r="B42" s="87" t="s">
        <v>610</v>
      </c>
      <c r="C42" s="83" t="s">
        <v>1581</v>
      </c>
      <c r="D42" s="83" t="s">
        <v>611</v>
      </c>
      <c r="E42" s="106">
        <v>13507.63</v>
      </c>
      <c r="F42" s="14"/>
    </row>
    <row r="43" spans="1:5" ht="14.25" customHeight="1" outlineLevel="1">
      <c r="A43" s="255" t="s">
        <v>1599</v>
      </c>
      <c r="B43" s="256"/>
      <c r="C43" s="256"/>
      <c r="D43" s="257"/>
      <c r="E43" s="105">
        <f>SUM(E44:E48)</f>
        <v>12636.79</v>
      </c>
    </row>
    <row r="44" spans="1:6" ht="15" outlineLevel="2">
      <c r="A44" s="42"/>
      <c r="B44" s="83" t="s">
        <v>10</v>
      </c>
      <c r="C44" s="83" t="s">
        <v>1578</v>
      </c>
      <c r="D44" s="83" t="s">
        <v>2129</v>
      </c>
      <c r="E44" s="106">
        <v>153.54</v>
      </c>
      <c r="F44" s="14"/>
    </row>
    <row r="45" spans="1:6" ht="15" outlineLevel="2">
      <c r="A45" s="42"/>
      <c r="B45" s="83" t="s">
        <v>1497</v>
      </c>
      <c r="C45" s="83" t="s">
        <v>1579</v>
      </c>
      <c r="D45" s="83" t="s">
        <v>1498</v>
      </c>
      <c r="E45" s="106">
        <v>9204</v>
      </c>
      <c r="F45" s="14"/>
    </row>
    <row r="46" spans="1:6" ht="15" outlineLevel="2">
      <c r="A46" s="42"/>
      <c r="B46" s="83" t="s">
        <v>1704</v>
      </c>
      <c r="C46" s="83" t="s">
        <v>1581</v>
      </c>
      <c r="D46" s="83" t="s">
        <v>2115</v>
      </c>
      <c r="E46" s="106">
        <v>2453.94</v>
      </c>
      <c r="F46" s="14"/>
    </row>
    <row r="47" spans="1:6" ht="15" outlineLevel="2">
      <c r="A47" s="42"/>
      <c r="B47" s="83" t="s">
        <v>2078</v>
      </c>
      <c r="C47" s="83" t="s">
        <v>1582</v>
      </c>
      <c r="D47" s="83" t="s">
        <v>1091</v>
      </c>
      <c r="E47" s="106">
        <v>760.75</v>
      </c>
      <c r="F47" s="14"/>
    </row>
    <row r="48" spans="1:6" ht="15" outlineLevel="2">
      <c r="A48" s="42"/>
      <c r="B48" s="83" t="s">
        <v>54</v>
      </c>
      <c r="C48" s="83" t="s">
        <v>1584</v>
      </c>
      <c r="D48" s="83" t="s">
        <v>619</v>
      </c>
      <c r="E48" s="106">
        <v>64.56</v>
      </c>
      <c r="F48" s="14"/>
    </row>
    <row r="49" spans="1:5" ht="24" customHeight="1" outlineLevel="1">
      <c r="A49" s="255" t="s">
        <v>1713</v>
      </c>
      <c r="B49" s="256"/>
      <c r="C49" s="256"/>
      <c r="D49" s="257"/>
      <c r="E49" s="105">
        <f>SUM(E50:E61)</f>
        <v>94645.08000000002</v>
      </c>
    </row>
    <row r="50" spans="1:6" ht="15" outlineLevel="2">
      <c r="A50" s="42"/>
      <c r="B50" s="82"/>
      <c r="C50" s="82" t="s">
        <v>1577</v>
      </c>
      <c r="D50" s="82" t="s">
        <v>1496</v>
      </c>
      <c r="E50" s="106">
        <v>8031.49</v>
      </c>
      <c r="F50" s="14"/>
    </row>
    <row r="51" spans="1:6" ht="15" outlineLevel="2">
      <c r="A51" s="42"/>
      <c r="B51" s="83"/>
      <c r="C51" s="83" t="s">
        <v>1578</v>
      </c>
      <c r="D51" s="83" t="s">
        <v>1496</v>
      </c>
      <c r="E51" s="106">
        <v>8031.49</v>
      </c>
      <c r="F51" s="14"/>
    </row>
    <row r="52" spans="1:6" ht="15" outlineLevel="2">
      <c r="A52" s="42"/>
      <c r="B52" s="83"/>
      <c r="C52" s="83" t="s">
        <v>1579</v>
      </c>
      <c r="D52" s="83" t="s">
        <v>1496</v>
      </c>
      <c r="E52" s="106">
        <v>8031.49</v>
      </c>
      <c r="F52" s="14"/>
    </row>
    <row r="53" spans="1:6" ht="15" outlineLevel="2">
      <c r="A53" s="42"/>
      <c r="B53" s="83"/>
      <c r="C53" s="83" t="s">
        <v>1580</v>
      </c>
      <c r="D53" s="83" t="s">
        <v>1496</v>
      </c>
      <c r="E53" s="106">
        <v>8031.49</v>
      </c>
      <c r="F53" s="14"/>
    </row>
    <row r="54" spans="1:6" ht="15" outlineLevel="2">
      <c r="A54" s="42"/>
      <c r="B54" s="83"/>
      <c r="C54" s="83" t="s">
        <v>1581</v>
      </c>
      <c r="D54" s="83" t="s">
        <v>1496</v>
      </c>
      <c r="E54" s="106">
        <v>7685.33</v>
      </c>
      <c r="F54" s="14"/>
    </row>
    <row r="55" spans="1:6" ht="15" outlineLevel="2">
      <c r="A55" s="42"/>
      <c r="B55" s="83"/>
      <c r="C55" s="83" t="s">
        <v>1582</v>
      </c>
      <c r="D55" s="83" t="s">
        <v>1496</v>
      </c>
      <c r="E55" s="106">
        <v>7685.33</v>
      </c>
      <c r="F55" s="14"/>
    </row>
    <row r="56" spans="1:6" ht="15" outlineLevel="2">
      <c r="A56" s="42"/>
      <c r="B56" s="83"/>
      <c r="C56" s="83" t="s">
        <v>1583</v>
      </c>
      <c r="D56" s="83" t="s">
        <v>1496</v>
      </c>
      <c r="E56" s="106">
        <v>7685.33</v>
      </c>
      <c r="F56" s="14"/>
    </row>
    <row r="57" spans="1:6" ht="15" outlineLevel="2">
      <c r="A57" s="42"/>
      <c r="B57" s="83"/>
      <c r="C57" s="83" t="s">
        <v>1584</v>
      </c>
      <c r="D57" s="83" t="s">
        <v>1496</v>
      </c>
      <c r="E57" s="106">
        <v>7683.33</v>
      </c>
      <c r="F57" s="14"/>
    </row>
    <row r="58" spans="1:6" ht="15" outlineLevel="2">
      <c r="A58" s="42"/>
      <c r="B58" s="83"/>
      <c r="C58" s="83" t="s">
        <v>1585</v>
      </c>
      <c r="D58" s="83" t="s">
        <v>1496</v>
      </c>
      <c r="E58" s="106">
        <v>7685.33</v>
      </c>
      <c r="F58" s="14"/>
    </row>
    <row r="59" spans="1:6" ht="15" outlineLevel="2">
      <c r="A59" s="42"/>
      <c r="B59" s="83"/>
      <c r="C59" s="83" t="s">
        <v>1586</v>
      </c>
      <c r="D59" s="83" t="s">
        <v>1496</v>
      </c>
      <c r="E59" s="106">
        <v>8031.49</v>
      </c>
      <c r="F59" s="14"/>
    </row>
    <row r="60" spans="1:6" ht="15" outlineLevel="2">
      <c r="A60" s="42"/>
      <c r="B60" s="83"/>
      <c r="C60" s="83" t="s">
        <v>1587</v>
      </c>
      <c r="D60" s="83" t="s">
        <v>1496</v>
      </c>
      <c r="E60" s="106">
        <v>8031.49</v>
      </c>
      <c r="F60" s="14"/>
    </row>
    <row r="61" spans="1:6" ht="15" outlineLevel="2">
      <c r="A61" s="42"/>
      <c r="B61" s="89"/>
      <c r="C61" s="83" t="s">
        <v>1588</v>
      </c>
      <c r="D61" s="83" t="s">
        <v>1496</v>
      </c>
      <c r="E61" s="106">
        <v>8031.49</v>
      </c>
      <c r="F61" s="14"/>
    </row>
    <row r="62" spans="1:5" ht="12.75" customHeight="1" outlineLevel="1">
      <c r="A62" s="255" t="s">
        <v>1714</v>
      </c>
      <c r="B62" s="256"/>
      <c r="C62" s="256"/>
      <c r="D62" s="257"/>
      <c r="E62" s="105">
        <f>1.46*2307.9*12</f>
        <v>40434.408</v>
      </c>
    </row>
    <row r="63" spans="1:5" ht="13.5" customHeight="1" outlineLevel="1">
      <c r="A63" s="255" t="s">
        <v>1715</v>
      </c>
      <c r="B63" s="256"/>
      <c r="C63" s="256"/>
      <c r="D63" s="257"/>
      <c r="E63" s="105">
        <f>SUM(E64:E68)</f>
        <v>3313.4900000000002</v>
      </c>
    </row>
    <row r="64" spans="1:6" ht="15" outlineLevel="2">
      <c r="A64" s="42"/>
      <c r="B64" s="83" t="s">
        <v>2</v>
      </c>
      <c r="C64" s="83" t="s">
        <v>1579</v>
      </c>
      <c r="D64" s="83" t="s">
        <v>1495</v>
      </c>
      <c r="E64" s="106">
        <v>53.04</v>
      </c>
      <c r="F64" s="14"/>
    </row>
    <row r="65" spans="1:6" ht="15" outlineLevel="2">
      <c r="A65" s="42"/>
      <c r="B65" s="83" t="s">
        <v>2</v>
      </c>
      <c r="C65" s="83" t="s">
        <v>1579</v>
      </c>
      <c r="D65" s="83" t="s">
        <v>2270</v>
      </c>
      <c r="E65" s="106">
        <v>1151.04</v>
      </c>
      <c r="F65" s="14"/>
    </row>
    <row r="66" spans="1:6" ht="15" outlineLevel="2">
      <c r="A66" s="42"/>
      <c r="B66" s="83" t="s">
        <v>535</v>
      </c>
      <c r="C66" s="83" t="s">
        <v>1586</v>
      </c>
      <c r="D66" s="83" t="s">
        <v>1005</v>
      </c>
      <c r="E66" s="106">
        <v>1463</v>
      </c>
      <c r="F66" s="14"/>
    </row>
    <row r="67" spans="1:6" ht="15" outlineLevel="2">
      <c r="A67" s="42"/>
      <c r="B67" s="83" t="s">
        <v>206</v>
      </c>
      <c r="C67" s="83" t="s">
        <v>1587</v>
      </c>
      <c r="D67" s="83" t="s">
        <v>207</v>
      </c>
      <c r="E67" s="106">
        <v>278.3</v>
      </c>
      <c r="F67" s="14"/>
    </row>
    <row r="68" spans="1:6" ht="15" outlineLevel="2">
      <c r="A68" s="42"/>
      <c r="B68" s="83" t="s">
        <v>1958</v>
      </c>
      <c r="C68" s="83" t="s">
        <v>1588</v>
      </c>
      <c r="D68" s="83" t="s">
        <v>1960</v>
      </c>
      <c r="E68" s="106">
        <v>368.11</v>
      </c>
      <c r="F68" s="14"/>
    </row>
    <row r="69" spans="1:5" ht="12.75" customHeight="1" outlineLevel="1">
      <c r="A69" s="255" t="s">
        <v>1716</v>
      </c>
      <c r="B69" s="256"/>
      <c r="C69" s="256"/>
      <c r="D69" s="257"/>
      <c r="E69" s="132">
        <f>SUM(E70:E71)</f>
        <v>2216</v>
      </c>
    </row>
    <row r="70" spans="1:6" ht="15" outlineLevel="2">
      <c r="A70" s="42"/>
      <c r="B70" s="83" t="s">
        <v>2112</v>
      </c>
      <c r="C70" s="83" t="s">
        <v>1581</v>
      </c>
      <c r="D70" s="83" t="s">
        <v>2113</v>
      </c>
      <c r="E70" s="106">
        <v>1513</v>
      </c>
      <c r="F70" s="14"/>
    </row>
    <row r="71" spans="1:6" ht="15" outlineLevel="2">
      <c r="A71" s="42"/>
      <c r="B71" s="83" t="s">
        <v>1232</v>
      </c>
      <c r="C71" s="83" t="s">
        <v>1581</v>
      </c>
      <c r="D71" s="83" t="s">
        <v>1233</v>
      </c>
      <c r="E71" s="106">
        <v>703</v>
      </c>
      <c r="F71" s="14"/>
    </row>
    <row r="72" spans="1:5" ht="12.75" customHeight="1" outlineLevel="1">
      <c r="A72" s="255" t="s">
        <v>1717</v>
      </c>
      <c r="B72" s="256"/>
      <c r="C72" s="256"/>
      <c r="D72" s="257"/>
      <c r="E72" s="105">
        <f>SUM(E73:E74)</f>
        <v>211.69</v>
      </c>
    </row>
    <row r="73" spans="1:6" ht="15" outlineLevel="2">
      <c r="A73" s="42"/>
      <c r="B73" s="83" t="s">
        <v>2</v>
      </c>
      <c r="C73" s="83" t="s">
        <v>1581</v>
      </c>
      <c r="D73" s="83" t="s">
        <v>943</v>
      </c>
      <c r="E73" s="106">
        <v>166.69</v>
      </c>
      <c r="F73" s="14"/>
    </row>
    <row r="74" spans="1:6" ht="15" outlineLevel="2">
      <c r="A74" s="42"/>
      <c r="B74" s="83" t="s">
        <v>2</v>
      </c>
      <c r="C74" s="83" t="s">
        <v>1587</v>
      </c>
      <c r="D74" s="83" t="s">
        <v>942</v>
      </c>
      <c r="E74" s="106">
        <v>45</v>
      </c>
      <c r="F74" s="14"/>
    </row>
    <row r="75" spans="1:5" ht="11.25" customHeight="1" outlineLevel="1">
      <c r="A75" s="255" t="s">
        <v>1595</v>
      </c>
      <c r="B75" s="256"/>
      <c r="C75" s="256"/>
      <c r="D75" s="257"/>
      <c r="E75" s="105">
        <f>SUM(E76:E85)</f>
        <v>6666.01</v>
      </c>
    </row>
    <row r="76" spans="1:6" ht="18" customHeight="1" outlineLevel="2">
      <c r="A76" s="42"/>
      <c r="B76" s="82" t="s">
        <v>5</v>
      </c>
      <c r="C76" s="82" t="s">
        <v>1577</v>
      </c>
      <c r="D76" s="82" t="s">
        <v>2199</v>
      </c>
      <c r="E76" s="106">
        <v>677.1</v>
      </c>
      <c r="F76" s="14"/>
    </row>
    <row r="77" spans="1:6" ht="15" outlineLevel="2">
      <c r="A77" s="42"/>
      <c r="B77" s="83" t="s">
        <v>64</v>
      </c>
      <c r="C77" s="83" t="s">
        <v>1577</v>
      </c>
      <c r="D77" s="83" t="s">
        <v>372</v>
      </c>
      <c r="E77" s="106">
        <v>462.8</v>
      </c>
      <c r="F77" s="14"/>
    </row>
    <row r="78" spans="1:6" ht="15" outlineLevel="2">
      <c r="A78" s="42"/>
      <c r="B78" s="83" t="s">
        <v>8</v>
      </c>
      <c r="C78" s="83" t="s">
        <v>1578</v>
      </c>
      <c r="D78" s="83" t="s">
        <v>2300</v>
      </c>
      <c r="E78" s="106">
        <v>333.02</v>
      </c>
      <c r="F78" s="14"/>
    </row>
    <row r="79" spans="1:6" ht="15" outlineLevel="2">
      <c r="A79" s="42"/>
      <c r="B79" s="83" t="s">
        <v>133</v>
      </c>
      <c r="C79" s="83" t="s">
        <v>1579</v>
      </c>
      <c r="D79" s="83" t="s">
        <v>1989</v>
      </c>
      <c r="E79" s="106">
        <v>48.78</v>
      </c>
      <c r="F79" s="14"/>
    </row>
    <row r="80" spans="1:6" ht="15" outlineLevel="2">
      <c r="A80" s="42"/>
      <c r="B80" s="83" t="s">
        <v>1992</v>
      </c>
      <c r="C80" s="83" t="s">
        <v>1579</v>
      </c>
      <c r="D80" s="83" t="s">
        <v>1610</v>
      </c>
      <c r="E80" s="106">
        <v>528.19</v>
      </c>
      <c r="F80" s="14"/>
    </row>
    <row r="81" spans="1:6" ht="15" outlineLevel="2">
      <c r="A81" s="42"/>
      <c r="B81" s="83" t="s">
        <v>478</v>
      </c>
      <c r="C81" s="83" t="s">
        <v>1580</v>
      </c>
      <c r="D81" s="83" t="s">
        <v>481</v>
      </c>
      <c r="E81" s="106">
        <v>276.4</v>
      </c>
      <c r="F81" s="14"/>
    </row>
    <row r="82" spans="1:6" ht="15" outlineLevel="2">
      <c r="A82" s="42"/>
      <c r="B82" s="83" t="s">
        <v>1253</v>
      </c>
      <c r="C82" s="83" t="s">
        <v>1582</v>
      </c>
      <c r="D82" s="83" t="s">
        <v>1439</v>
      </c>
      <c r="E82" s="106">
        <v>274.92</v>
      </c>
      <c r="F82" s="14"/>
    </row>
    <row r="83" spans="1:6" ht="15" outlineLevel="2">
      <c r="A83" s="42"/>
      <c r="B83" s="83" t="s">
        <v>104</v>
      </c>
      <c r="C83" s="83" t="s">
        <v>1583</v>
      </c>
      <c r="D83" s="83" t="s">
        <v>1612</v>
      </c>
      <c r="E83" s="106">
        <v>2307.62</v>
      </c>
      <c r="F83" s="14"/>
    </row>
    <row r="84" spans="1:6" ht="15" outlineLevel="2">
      <c r="A84" s="42"/>
      <c r="B84" s="83" t="s">
        <v>560</v>
      </c>
      <c r="C84" s="83" t="s">
        <v>1586</v>
      </c>
      <c r="D84" s="83" t="s">
        <v>1612</v>
      </c>
      <c r="E84" s="106">
        <v>1168.18</v>
      </c>
      <c r="F84" s="14"/>
    </row>
    <row r="85" spans="1:6" ht="15" outlineLevel="2">
      <c r="A85" s="42"/>
      <c r="B85" s="83" t="s">
        <v>992</v>
      </c>
      <c r="C85" s="83" t="s">
        <v>1588</v>
      </c>
      <c r="D85" s="83" t="s">
        <v>1612</v>
      </c>
      <c r="E85" s="106">
        <v>589</v>
      </c>
      <c r="F85" s="14"/>
    </row>
    <row r="86" spans="1:5" ht="12.75" customHeight="1" outlineLevel="1">
      <c r="A86" s="255" t="s">
        <v>1718</v>
      </c>
      <c r="B86" s="256"/>
      <c r="C86" s="256"/>
      <c r="D86" s="257"/>
      <c r="E86" s="105">
        <f>SUM(E87:E92)</f>
        <v>3976.5800000000004</v>
      </c>
    </row>
    <row r="87" spans="1:6" ht="15" outlineLevel="2">
      <c r="A87" s="42"/>
      <c r="B87" s="82" t="s">
        <v>1721</v>
      </c>
      <c r="C87" s="82" t="s">
        <v>1577</v>
      </c>
      <c r="D87" s="82" t="s">
        <v>1535</v>
      </c>
      <c r="E87" s="106">
        <v>299.54</v>
      </c>
      <c r="F87" s="14"/>
    </row>
    <row r="88" spans="1:6" ht="15" outlineLevel="2">
      <c r="A88" s="42"/>
      <c r="B88" s="83" t="s">
        <v>2</v>
      </c>
      <c r="C88" s="83" t="s">
        <v>1577</v>
      </c>
      <c r="D88" s="83" t="s">
        <v>1897</v>
      </c>
      <c r="E88" s="106">
        <v>1188.38</v>
      </c>
      <c r="F88" s="14"/>
    </row>
    <row r="89" spans="1:6" ht="15" outlineLevel="2">
      <c r="A89" s="42"/>
      <c r="B89" s="83" t="s">
        <v>2180</v>
      </c>
      <c r="C89" s="83" t="s">
        <v>1578</v>
      </c>
      <c r="D89" s="83" t="s">
        <v>2209</v>
      </c>
      <c r="E89" s="106">
        <v>1074.08</v>
      </c>
      <c r="F89" s="14"/>
    </row>
    <row r="90" spans="1:6" ht="15" outlineLevel="2">
      <c r="A90" s="42"/>
      <c r="B90" s="83" t="s">
        <v>2</v>
      </c>
      <c r="C90" s="83" t="s">
        <v>57</v>
      </c>
      <c r="D90" s="83" t="s">
        <v>721</v>
      </c>
      <c r="E90" s="106">
        <v>120.73</v>
      </c>
      <c r="F90" s="14"/>
    </row>
    <row r="91" spans="1:6" ht="15" outlineLevel="2">
      <c r="A91" s="42"/>
      <c r="B91" s="83" t="s">
        <v>2</v>
      </c>
      <c r="C91" s="83" t="s">
        <v>1581</v>
      </c>
      <c r="D91" s="83" t="s">
        <v>2390</v>
      </c>
      <c r="E91" s="106">
        <v>1159.45</v>
      </c>
      <c r="F91" s="14"/>
    </row>
    <row r="92" spans="1:6" ht="15" outlineLevel="2">
      <c r="A92" s="42"/>
      <c r="B92" s="84" t="s">
        <v>2</v>
      </c>
      <c r="C92" s="84" t="s">
        <v>57</v>
      </c>
      <c r="D92" s="84" t="s">
        <v>936</v>
      </c>
      <c r="E92" s="106">
        <v>134.4</v>
      </c>
      <c r="F92" s="14"/>
    </row>
    <row r="93" spans="1:6" ht="12.75" customHeight="1" outlineLevel="2">
      <c r="A93" s="255" t="s">
        <v>0</v>
      </c>
      <c r="B93" s="256"/>
      <c r="C93" s="256"/>
      <c r="D93" s="257"/>
      <c r="E93" s="105">
        <f>0.1*2307.9*12</f>
        <v>2769.4800000000005</v>
      </c>
      <c r="F93" s="14"/>
    </row>
    <row r="94" spans="1:6" ht="13.5" customHeight="1" outlineLevel="2">
      <c r="A94" s="255" t="s">
        <v>1874</v>
      </c>
      <c r="B94" s="256"/>
      <c r="C94" s="256"/>
      <c r="D94" s="257"/>
      <c r="E94" s="105">
        <v>3166.66</v>
      </c>
      <c r="F94" s="14"/>
    </row>
    <row r="95" spans="1:6" ht="15">
      <c r="A95" s="42"/>
      <c r="B95" s="273" t="s">
        <v>255</v>
      </c>
      <c r="C95" s="273"/>
      <c r="D95" s="273"/>
      <c r="E95" s="43">
        <f>0.94*2307.9*12</f>
        <v>26033.112</v>
      </c>
      <c r="F95" s="26"/>
    </row>
    <row r="96" spans="1:6" ht="15">
      <c r="A96" s="42"/>
      <c r="B96" s="270" t="s">
        <v>59</v>
      </c>
      <c r="C96" s="270"/>
      <c r="D96" s="270"/>
      <c r="E96" s="43">
        <f>1.57*2307.9*12</f>
        <v>43480.836</v>
      </c>
      <c r="F96" s="14"/>
    </row>
    <row r="97" spans="1:6" ht="15">
      <c r="A97" s="42"/>
      <c r="B97" s="270" t="s">
        <v>1712</v>
      </c>
      <c r="C97" s="270"/>
      <c r="D97" s="270"/>
      <c r="E97" s="43">
        <f>5.02*2307.9*12</f>
        <v>139027.896</v>
      </c>
      <c r="F97" s="14"/>
    </row>
    <row r="98" spans="1:6" ht="15">
      <c r="A98" s="42"/>
      <c r="B98" s="270" t="s">
        <v>256</v>
      </c>
      <c r="C98" s="270"/>
      <c r="D98" s="270"/>
      <c r="E98" s="43">
        <f>10.3*(E100+E101)/100</f>
        <v>72405.0551</v>
      </c>
      <c r="F98" s="14"/>
    </row>
    <row r="99" spans="1:5" ht="15">
      <c r="A99" s="42">
        <v>1</v>
      </c>
      <c r="B99" s="272" t="s">
        <v>659</v>
      </c>
      <c r="C99" s="272"/>
      <c r="D99" s="272"/>
      <c r="E99" s="44">
        <f>E98+E97+E96+E95+E6+E3</f>
        <v>522296.06710000004</v>
      </c>
    </row>
    <row r="100" spans="1:6" ht="15">
      <c r="A100" s="42">
        <v>2</v>
      </c>
      <c r="B100" s="270" t="s">
        <v>258</v>
      </c>
      <c r="C100" s="270"/>
      <c r="D100" s="270"/>
      <c r="E100" s="43">
        <v>633032.21</v>
      </c>
      <c r="F100" s="14"/>
    </row>
    <row r="101" spans="1:5" ht="15">
      <c r="A101" s="42">
        <v>3</v>
      </c>
      <c r="B101" s="270" t="s">
        <v>259</v>
      </c>
      <c r="C101" s="270"/>
      <c r="D101" s="270"/>
      <c r="E101" s="43">
        <v>69929.49</v>
      </c>
    </row>
    <row r="102" spans="1:5" ht="15">
      <c r="A102" s="42">
        <v>4</v>
      </c>
      <c r="B102" s="270" t="s">
        <v>660</v>
      </c>
      <c r="C102" s="270"/>
      <c r="D102" s="270"/>
      <c r="E102" s="43">
        <v>1743562.68</v>
      </c>
    </row>
    <row r="103" spans="1:5" ht="15">
      <c r="A103" s="42">
        <v>5</v>
      </c>
      <c r="B103" s="270" t="s">
        <v>2340</v>
      </c>
      <c r="C103" s="270"/>
      <c r="D103" s="270"/>
      <c r="E103" s="43">
        <v>1375638.87</v>
      </c>
    </row>
    <row r="104" spans="1:5" ht="15">
      <c r="A104" s="42">
        <v>6</v>
      </c>
      <c r="B104" s="272" t="s">
        <v>2341</v>
      </c>
      <c r="C104" s="272"/>
      <c r="D104" s="272"/>
      <c r="E104" s="44">
        <f>'[5]Комсомольский 34'!$E$73+E99</f>
        <v>1471192.202782</v>
      </c>
    </row>
    <row r="105" spans="1:5" ht="15">
      <c r="A105" s="42">
        <v>7</v>
      </c>
      <c r="B105" s="270" t="s">
        <v>732</v>
      </c>
      <c r="C105" s="270"/>
      <c r="D105" s="270"/>
      <c r="E105" s="43">
        <v>222080.6</v>
      </c>
    </row>
    <row r="106" spans="1:5" ht="15">
      <c r="A106" s="42">
        <v>8</v>
      </c>
      <c r="B106" s="270" t="s">
        <v>733</v>
      </c>
      <c r="C106" s="270"/>
      <c r="D106" s="270"/>
      <c r="E106" s="43">
        <v>175396.5</v>
      </c>
    </row>
    <row r="107" spans="1:5" ht="15">
      <c r="A107" s="42">
        <v>9</v>
      </c>
      <c r="B107" s="272" t="s">
        <v>734</v>
      </c>
      <c r="C107" s="272"/>
      <c r="D107" s="272"/>
      <c r="E107" s="44">
        <f>'[5]Комсомольский 34'!$E$76</f>
        <v>548650.64</v>
      </c>
    </row>
    <row r="108" spans="1:5" ht="15">
      <c r="A108" s="42">
        <v>10</v>
      </c>
      <c r="B108" s="270" t="s">
        <v>260</v>
      </c>
      <c r="C108" s="270"/>
      <c r="D108" s="270"/>
      <c r="E108" s="43">
        <v>492705.86</v>
      </c>
    </row>
    <row r="109" spans="1:5" ht="15">
      <c r="A109" s="42">
        <v>11</v>
      </c>
      <c r="B109" s="270" t="s">
        <v>735</v>
      </c>
      <c r="C109" s="270"/>
      <c r="D109" s="270"/>
      <c r="E109" s="43">
        <v>54427.99</v>
      </c>
    </row>
    <row r="110" spans="1:5" ht="15">
      <c r="A110" s="42">
        <v>12</v>
      </c>
      <c r="B110" s="272" t="s">
        <v>736</v>
      </c>
      <c r="C110" s="272"/>
      <c r="D110" s="272"/>
      <c r="E110" s="44">
        <v>0</v>
      </c>
    </row>
    <row r="111" spans="1:5" ht="16.5" customHeight="1">
      <c r="A111" s="42">
        <v>13</v>
      </c>
      <c r="B111" s="271" t="s">
        <v>737</v>
      </c>
      <c r="C111" s="271"/>
      <c r="D111" s="271"/>
      <c r="E111" s="45">
        <f>E102-E104</f>
        <v>272370.477218</v>
      </c>
    </row>
    <row r="112" spans="1:5" ht="14.25" customHeight="1">
      <c r="A112" s="42">
        <v>14</v>
      </c>
      <c r="B112" s="271" t="s">
        <v>738</v>
      </c>
      <c r="C112" s="271"/>
      <c r="D112" s="271"/>
      <c r="E112" s="45">
        <f>E105-E107</f>
        <v>-326570.04000000004</v>
      </c>
    </row>
    <row r="113" spans="1:5" ht="30" customHeight="1">
      <c r="A113" s="42">
        <v>15</v>
      </c>
      <c r="B113" s="271" t="s">
        <v>2273</v>
      </c>
      <c r="C113" s="271"/>
      <c r="D113" s="271"/>
      <c r="E113" s="45">
        <f>E103-E104</f>
        <v>-95553.33278199984</v>
      </c>
    </row>
    <row r="114" ht="12.75">
      <c r="E114" s="39"/>
    </row>
    <row r="115" spans="1:5" ht="102">
      <c r="A115" s="12" t="s">
        <v>492</v>
      </c>
      <c r="E115" s="39"/>
    </row>
    <row r="116" spans="1:5" ht="89.25">
      <c r="A116" s="12" t="s">
        <v>493</v>
      </c>
      <c r="E116" s="39"/>
    </row>
    <row r="117" spans="1:5" ht="216.75">
      <c r="A117" s="12" t="s">
        <v>494</v>
      </c>
      <c r="E117" s="39"/>
    </row>
    <row r="118" spans="1:5" ht="89.25">
      <c r="A118" s="12" t="s">
        <v>495</v>
      </c>
      <c r="E118" s="39"/>
    </row>
  </sheetData>
  <sheetProtection/>
  <mergeCells count="38">
    <mergeCell ref="A1:E1"/>
    <mergeCell ref="A4:D4"/>
    <mergeCell ref="A7:D7"/>
    <mergeCell ref="A16:D16"/>
    <mergeCell ref="B3:C3"/>
    <mergeCell ref="B6:C6"/>
    <mergeCell ref="A19:D19"/>
    <mergeCell ref="A36:D36"/>
    <mergeCell ref="A41:D41"/>
    <mergeCell ref="A43:D43"/>
    <mergeCell ref="A49:D49"/>
    <mergeCell ref="B101:D101"/>
    <mergeCell ref="A94:D94"/>
    <mergeCell ref="A63:D63"/>
    <mergeCell ref="A62:D62"/>
    <mergeCell ref="A86:D86"/>
    <mergeCell ref="B113:D113"/>
    <mergeCell ref="B105:D105"/>
    <mergeCell ref="B106:D106"/>
    <mergeCell ref="B107:D107"/>
    <mergeCell ref="B108:D108"/>
    <mergeCell ref="B111:D111"/>
    <mergeCell ref="B112:D112"/>
    <mergeCell ref="B109:D109"/>
    <mergeCell ref="B110:D110"/>
    <mergeCell ref="B104:D104"/>
    <mergeCell ref="B103:D103"/>
    <mergeCell ref="B95:D95"/>
    <mergeCell ref="B96:D96"/>
    <mergeCell ref="B99:D99"/>
    <mergeCell ref="B98:D98"/>
    <mergeCell ref="B97:D97"/>
    <mergeCell ref="A93:D93"/>
    <mergeCell ref="B102:D102"/>
    <mergeCell ref="B100:D100"/>
    <mergeCell ref="A72:D72"/>
    <mergeCell ref="A75:D75"/>
    <mergeCell ref="A69:D69"/>
  </mergeCells>
  <printOptions/>
  <pageMargins left="0.35433070866141736" right="0.35433070866141736" top="0.2755905511811024" bottom="0.31496062992125984" header="0.2362204724409449" footer="0.1574803149606299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3"/>
  <sheetViews>
    <sheetView zoomScalePageLayoutView="0" workbookViewId="0" topLeftCell="A7">
      <selection activeCell="B68" sqref="B68"/>
    </sheetView>
  </sheetViews>
  <sheetFormatPr defaultColWidth="13.421875" defaultRowHeight="12.75" outlineLevelRow="2"/>
  <cols>
    <col min="1" max="1" width="0.9921875" style="1" customWidth="1"/>
    <col min="2" max="2" width="11.8515625" style="1" customWidth="1"/>
    <col min="3" max="3" width="14.7109375" style="1" customWidth="1"/>
    <col min="4" max="4" width="75.003906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315" t="s">
        <v>34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2.75" customHeight="1">
      <c r="A3" s="91"/>
      <c r="B3" s="308"/>
      <c r="C3" s="308"/>
      <c r="D3" s="155" t="s">
        <v>1575</v>
      </c>
      <c r="E3" s="130">
        <f>E4</f>
        <v>1200</v>
      </c>
    </row>
    <row r="4" spans="1:5" ht="14.25" customHeight="1" outlineLevel="1">
      <c r="A4" s="255" t="s">
        <v>1595</v>
      </c>
      <c r="B4" s="256"/>
      <c r="C4" s="256"/>
      <c r="D4" s="257"/>
      <c r="E4" s="105">
        <f>SUM(E5:E5)</f>
        <v>1200</v>
      </c>
    </row>
    <row r="5" spans="1:6" ht="15" outlineLevel="2">
      <c r="A5" s="81"/>
      <c r="B5" s="312" t="s">
        <v>282</v>
      </c>
      <c r="C5" s="313"/>
      <c r="D5" s="314"/>
      <c r="E5" s="106">
        <v>1200</v>
      </c>
      <c r="F5" s="14"/>
    </row>
    <row r="6" spans="1:5" ht="13.5" customHeight="1">
      <c r="A6" s="91"/>
      <c r="B6" s="308"/>
      <c r="C6" s="308"/>
      <c r="D6" s="155" t="s">
        <v>1600</v>
      </c>
      <c r="E6" s="130">
        <f>E7+E17+E23+E40+E49+E51+E53+E66+E67+E76+E78+E81+E93+E98+E99</f>
        <v>236657.26999999996</v>
      </c>
    </row>
    <row r="7" spans="1:5" ht="15" outlineLevel="1">
      <c r="A7" s="255" t="s">
        <v>1576</v>
      </c>
      <c r="B7" s="256"/>
      <c r="C7" s="256"/>
      <c r="D7" s="257"/>
      <c r="E7" s="105">
        <f>SUM(E8:E16)</f>
        <v>4991.03</v>
      </c>
    </row>
    <row r="8" spans="1:6" ht="15" outlineLevel="2">
      <c r="A8" s="42"/>
      <c r="B8" s="83" t="s">
        <v>2</v>
      </c>
      <c r="C8" s="83" t="s">
        <v>1580</v>
      </c>
      <c r="D8" s="83" t="s">
        <v>2277</v>
      </c>
      <c r="E8" s="106">
        <v>59.95</v>
      </c>
      <c r="F8" s="14"/>
    </row>
    <row r="9" spans="1:6" ht="15" outlineLevel="2">
      <c r="A9" s="42"/>
      <c r="B9" s="83" t="s">
        <v>1705</v>
      </c>
      <c r="C9" s="83" t="s">
        <v>1581</v>
      </c>
      <c r="D9" s="83" t="s">
        <v>287</v>
      </c>
      <c r="E9" s="106">
        <v>42.03</v>
      </c>
      <c r="F9" s="14"/>
    </row>
    <row r="10" spans="1:6" ht="15" outlineLevel="2">
      <c r="A10" s="42"/>
      <c r="B10" s="83" t="s">
        <v>1708</v>
      </c>
      <c r="C10" s="83" t="s">
        <v>1581</v>
      </c>
      <c r="D10" s="83" t="s">
        <v>1235</v>
      </c>
      <c r="E10" s="106">
        <v>630.62</v>
      </c>
      <c r="F10" s="14"/>
    </row>
    <row r="11" spans="1:6" ht="15" outlineLevel="2">
      <c r="A11" s="42"/>
      <c r="B11" s="83" t="s">
        <v>1689</v>
      </c>
      <c r="C11" s="83" t="s">
        <v>1582</v>
      </c>
      <c r="D11" s="83" t="s">
        <v>2411</v>
      </c>
      <c r="E11" s="106">
        <v>1249.93</v>
      </c>
      <c r="F11" s="14"/>
    </row>
    <row r="12" spans="1:6" ht="27.75" customHeight="1" outlineLevel="2">
      <c r="A12" s="42"/>
      <c r="B12" s="83" t="s">
        <v>508</v>
      </c>
      <c r="C12" s="83" t="s">
        <v>1582</v>
      </c>
      <c r="D12" s="83" t="s">
        <v>509</v>
      </c>
      <c r="E12" s="106">
        <v>273.65</v>
      </c>
      <c r="F12" s="14"/>
    </row>
    <row r="13" spans="1:6" ht="15" outlineLevel="2">
      <c r="A13" s="42"/>
      <c r="B13" s="83" t="s">
        <v>1695</v>
      </c>
      <c r="C13" s="83" t="s">
        <v>1583</v>
      </c>
      <c r="D13" s="83" t="s">
        <v>1324</v>
      </c>
      <c r="E13" s="106">
        <v>138.62</v>
      </c>
      <c r="F13" s="14"/>
    </row>
    <row r="14" spans="1:6" ht="15" outlineLevel="2">
      <c r="A14" s="42"/>
      <c r="B14" s="83" t="s">
        <v>1033</v>
      </c>
      <c r="C14" s="83" t="s">
        <v>1583</v>
      </c>
      <c r="D14" s="83" t="s">
        <v>509</v>
      </c>
      <c r="E14" s="106">
        <v>2423.08</v>
      </c>
      <c r="F14" s="14"/>
    </row>
    <row r="15" spans="1:6" ht="15" outlineLevel="2">
      <c r="A15" s="42"/>
      <c r="B15" s="83" t="s">
        <v>2</v>
      </c>
      <c r="C15" s="83" t="s">
        <v>1583</v>
      </c>
      <c r="D15" s="83" t="s">
        <v>855</v>
      </c>
      <c r="E15" s="106">
        <v>80.15</v>
      </c>
      <c r="F15" s="14"/>
    </row>
    <row r="16" spans="1:6" ht="15" outlineLevel="2">
      <c r="A16" s="42"/>
      <c r="B16" s="84" t="s">
        <v>1933</v>
      </c>
      <c r="C16" s="83" t="s">
        <v>1588</v>
      </c>
      <c r="D16" s="84" t="s">
        <v>1934</v>
      </c>
      <c r="E16" s="153">
        <v>93</v>
      </c>
      <c r="F16" s="14"/>
    </row>
    <row r="17" spans="1:5" ht="15" outlineLevel="1">
      <c r="A17" s="255" t="s">
        <v>1589</v>
      </c>
      <c r="B17" s="256"/>
      <c r="C17" s="256"/>
      <c r="D17" s="257"/>
      <c r="E17" s="105">
        <f>SUM(E18:E22)</f>
        <v>6339.549999999999</v>
      </c>
    </row>
    <row r="18" spans="1:6" ht="15" outlineLevel="2">
      <c r="A18" s="42"/>
      <c r="B18" s="82" t="s">
        <v>2205</v>
      </c>
      <c r="C18" s="82" t="s">
        <v>1577</v>
      </c>
      <c r="D18" s="82" t="s">
        <v>2224</v>
      </c>
      <c r="E18" s="106">
        <v>1725.65</v>
      </c>
      <c r="F18" s="14"/>
    </row>
    <row r="19" spans="1:6" ht="15" outlineLevel="2">
      <c r="A19" s="42"/>
      <c r="B19" s="83" t="s">
        <v>1489</v>
      </c>
      <c r="C19" s="83" t="s">
        <v>1580</v>
      </c>
      <c r="D19" s="83" t="s">
        <v>1624</v>
      </c>
      <c r="E19" s="106">
        <v>41.59</v>
      </c>
      <c r="F19" s="14"/>
    </row>
    <row r="20" spans="1:6" ht="15" outlineLevel="2">
      <c r="A20" s="42"/>
      <c r="B20" s="83" t="s">
        <v>42</v>
      </c>
      <c r="C20" s="83" t="s">
        <v>1583</v>
      </c>
      <c r="D20" s="83" t="s">
        <v>156</v>
      </c>
      <c r="E20" s="106">
        <v>1458.88</v>
      </c>
      <c r="F20" s="14"/>
    </row>
    <row r="21" spans="1:6" ht="15" outlineLevel="2">
      <c r="A21" s="42"/>
      <c r="B21" s="83" t="s">
        <v>163</v>
      </c>
      <c r="C21" s="83" t="s">
        <v>1583</v>
      </c>
      <c r="D21" s="83" t="s">
        <v>168</v>
      </c>
      <c r="E21" s="106">
        <v>3069.43</v>
      </c>
      <c r="F21" s="14"/>
    </row>
    <row r="22" spans="1:6" ht="15" outlineLevel="2">
      <c r="A22" s="42"/>
      <c r="B22" s="83" t="s">
        <v>1072</v>
      </c>
      <c r="C22" s="83" t="s">
        <v>1588</v>
      </c>
      <c r="D22" s="83" t="s">
        <v>1073</v>
      </c>
      <c r="E22" s="106">
        <v>44</v>
      </c>
      <c r="F22" s="14"/>
    </row>
    <row r="23" spans="1:5" ht="12.75" customHeight="1" outlineLevel="1">
      <c r="A23" s="255" t="s">
        <v>1590</v>
      </c>
      <c r="B23" s="256"/>
      <c r="C23" s="256"/>
      <c r="D23" s="257"/>
      <c r="E23" s="105">
        <f>SUM(E24:E39)</f>
        <v>29901.79</v>
      </c>
    </row>
    <row r="24" spans="1:6" ht="15" outlineLevel="2">
      <c r="A24" s="42"/>
      <c r="B24" s="88" t="s">
        <v>2</v>
      </c>
      <c r="C24" s="82" t="s">
        <v>1577</v>
      </c>
      <c r="D24" s="82" t="s">
        <v>1507</v>
      </c>
      <c r="E24" s="106">
        <v>100.31</v>
      </c>
      <c r="F24" s="14"/>
    </row>
    <row r="25" spans="1:6" ht="15" outlineLevel="2">
      <c r="A25" s="42"/>
      <c r="B25" s="87" t="s">
        <v>16</v>
      </c>
      <c r="C25" s="83" t="s">
        <v>1579</v>
      </c>
      <c r="D25" s="83" t="s">
        <v>1841</v>
      </c>
      <c r="E25" s="106">
        <v>1790.03</v>
      </c>
      <c r="F25" s="14"/>
    </row>
    <row r="26" spans="1:6" ht="30" outlineLevel="2">
      <c r="A26" s="42"/>
      <c r="B26" s="87" t="s">
        <v>2182</v>
      </c>
      <c r="C26" s="83" t="s">
        <v>1580</v>
      </c>
      <c r="D26" s="83" t="s">
        <v>1177</v>
      </c>
      <c r="E26" s="106">
        <v>202</v>
      </c>
      <c r="F26" s="14"/>
    </row>
    <row r="27" spans="1:6" ht="15" outlineLevel="2">
      <c r="A27" s="42"/>
      <c r="B27" s="87" t="s">
        <v>836</v>
      </c>
      <c r="C27" s="83" t="s">
        <v>1580</v>
      </c>
      <c r="D27" s="83" t="s">
        <v>1063</v>
      </c>
      <c r="E27" s="106">
        <v>4565.5</v>
      </c>
      <c r="F27" s="14"/>
    </row>
    <row r="28" spans="1:6" ht="15" outlineLevel="2">
      <c r="A28" s="42"/>
      <c r="B28" s="87" t="s">
        <v>836</v>
      </c>
      <c r="C28" s="83" t="s">
        <v>1580</v>
      </c>
      <c r="D28" s="83" t="s">
        <v>1117</v>
      </c>
      <c r="E28" s="106">
        <v>1008.63</v>
      </c>
      <c r="F28" s="14"/>
    </row>
    <row r="29" spans="1:6" ht="15" outlineLevel="2">
      <c r="A29" s="42"/>
      <c r="B29" s="87" t="s">
        <v>137</v>
      </c>
      <c r="C29" s="83" t="s">
        <v>1580</v>
      </c>
      <c r="D29" s="83" t="s">
        <v>1038</v>
      </c>
      <c r="E29" s="106">
        <v>211.79</v>
      </c>
      <c r="F29" s="14"/>
    </row>
    <row r="30" spans="1:6" ht="15" outlineLevel="2">
      <c r="A30" s="42"/>
      <c r="B30" s="87" t="s">
        <v>180</v>
      </c>
      <c r="C30" s="83" t="s">
        <v>1580</v>
      </c>
      <c r="D30" s="83" t="s">
        <v>1411</v>
      </c>
      <c r="E30" s="106">
        <v>142.78</v>
      </c>
      <c r="F30" s="14"/>
    </row>
    <row r="31" spans="1:6" ht="15" outlineLevel="2">
      <c r="A31" s="42"/>
      <c r="B31" s="87" t="s">
        <v>1249</v>
      </c>
      <c r="C31" s="83" t="s">
        <v>1581</v>
      </c>
      <c r="D31" s="83" t="s">
        <v>2031</v>
      </c>
      <c r="E31" s="106">
        <v>84.48</v>
      </c>
      <c r="F31" s="14"/>
    </row>
    <row r="32" spans="1:6" ht="15" outlineLevel="2">
      <c r="A32" s="42"/>
      <c r="B32" s="87" t="s">
        <v>1689</v>
      </c>
      <c r="C32" s="83" t="s">
        <v>1582</v>
      </c>
      <c r="D32" s="83" t="s">
        <v>2409</v>
      </c>
      <c r="E32" s="106">
        <v>383.67</v>
      </c>
      <c r="F32" s="14"/>
    </row>
    <row r="33" spans="1:6" ht="15.75" customHeight="1" outlineLevel="2">
      <c r="A33" s="42"/>
      <c r="B33" s="87" t="s">
        <v>197</v>
      </c>
      <c r="C33" s="83" t="s">
        <v>1584</v>
      </c>
      <c r="D33" s="83" t="s">
        <v>760</v>
      </c>
      <c r="E33" s="106">
        <v>5627.7</v>
      </c>
      <c r="F33" s="14"/>
    </row>
    <row r="34" spans="1:6" ht="17.25" customHeight="1" outlineLevel="2">
      <c r="A34" s="42"/>
      <c r="B34" s="87" t="s">
        <v>580</v>
      </c>
      <c r="C34" s="83" t="s">
        <v>1585</v>
      </c>
      <c r="D34" s="83" t="s">
        <v>581</v>
      </c>
      <c r="E34" s="106">
        <v>13431.63</v>
      </c>
      <c r="F34" s="14"/>
    </row>
    <row r="35" spans="1:6" ht="15.75" customHeight="1" outlineLevel="2">
      <c r="A35" s="42"/>
      <c r="B35" s="87" t="s">
        <v>336</v>
      </c>
      <c r="C35" s="83" t="s">
        <v>1586</v>
      </c>
      <c r="D35" s="83" t="s">
        <v>337</v>
      </c>
      <c r="E35" s="106">
        <v>309.06</v>
      </c>
      <c r="F35" s="14"/>
    </row>
    <row r="36" spans="1:6" ht="15" outlineLevel="2">
      <c r="A36" s="42"/>
      <c r="B36" s="87" t="s">
        <v>342</v>
      </c>
      <c r="C36" s="83" t="s">
        <v>1586</v>
      </c>
      <c r="D36" s="83" t="s">
        <v>343</v>
      </c>
      <c r="E36" s="106">
        <v>437.5</v>
      </c>
      <c r="F36" s="14"/>
    </row>
    <row r="37" spans="1:6" ht="18.75" customHeight="1" outlineLevel="2">
      <c r="A37" s="42"/>
      <c r="B37" s="87" t="s">
        <v>192</v>
      </c>
      <c r="C37" s="83" t="s">
        <v>1586</v>
      </c>
      <c r="D37" s="83" t="s">
        <v>783</v>
      </c>
      <c r="E37" s="106">
        <v>1470.65</v>
      </c>
      <c r="F37" s="14"/>
    </row>
    <row r="38" spans="1:6" ht="15" outlineLevel="2">
      <c r="A38" s="42"/>
      <c r="B38" s="87" t="s">
        <v>2</v>
      </c>
      <c r="C38" s="83" t="s">
        <v>1587</v>
      </c>
      <c r="D38" s="83" t="s">
        <v>1179</v>
      </c>
      <c r="E38" s="106">
        <v>45</v>
      </c>
      <c r="F38" s="14"/>
    </row>
    <row r="39" spans="1:6" ht="15" outlineLevel="2">
      <c r="A39" s="42"/>
      <c r="B39" s="87" t="s">
        <v>1199</v>
      </c>
      <c r="C39" s="83" t="s">
        <v>1587</v>
      </c>
      <c r="D39" s="83" t="s">
        <v>1179</v>
      </c>
      <c r="E39" s="106">
        <v>91.06</v>
      </c>
      <c r="F39" s="14"/>
    </row>
    <row r="40" spans="1:5" ht="14.25" customHeight="1" outlineLevel="1">
      <c r="A40" s="255" t="s">
        <v>1591</v>
      </c>
      <c r="B40" s="256"/>
      <c r="C40" s="256"/>
      <c r="D40" s="257"/>
      <c r="E40" s="105">
        <f>SUM(E41:E48)</f>
        <v>12552.8</v>
      </c>
    </row>
    <row r="41" spans="1:6" ht="15" outlineLevel="2">
      <c r="A41" s="42"/>
      <c r="B41" s="87" t="s">
        <v>768</v>
      </c>
      <c r="C41" s="83" t="s">
        <v>1578</v>
      </c>
      <c r="D41" s="83" t="s">
        <v>406</v>
      </c>
      <c r="E41" s="106">
        <v>1267.63</v>
      </c>
      <c r="F41" s="14"/>
    </row>
    <row r="42" spans="1:6" ht="15" outlineLevel="2">
      <c r="A42" s="42"/>
      <c r="B42" s="87" t="s">
        <v>130</v>
      </c>
      <c r="C42" s="83" t="s">
        <v>1578</v>
      </c>
      <c r="D42" s="83" t="s">
        <v>407</v>
      </c>
      <c r="E42" s="106">
        <v>754.1</v>
      </c>
      <c r="F42" s="14"/>
    </row>
    <row r="43" spans="1:6" ht="15" outlineLevel="2">
      <c r="A43" s="42"/>
      <c r="B43" s="87" t="s">
        <v>184</v>
      </c>
      <c r="C43" s="83" t="s">
        <v>1580</v>
      </c>
      <c r="D43" s="83" t="s">
        <v>315</v>
      </c>
      <c r="E43" s="106">
        <v>898</v>
      </c>
      <c r="F43" s="14"/>
    </row>
    <row r="44" spans="1:6" ht="15" outlineLevel="2">
      <c r="A44" s="42"/>
      <c r="B44" s="87" t="s">
        <v>103</v>
      </c>
      <c r="C44" s="83" t="s">
        <v>1582</v>
      </c>
      <c r="D44" s="83" t="s">
        <v>307</v>
      </c>
      <c r="E44" s="106">
        <v>899.84</v>
      </c>
      <c r="F44" s="14"/>
    </row>
    <row r="45" spans="1:6" ht="15" outlineLevel="2">
      <c r="A45" s="42"/>
      <c r="B45" s="87" t="s">
        <v>2503</v>
      </c>
      <c r="C45" s="83" t="s">
        <v>1582</v>
      </c>
      <c r="D45" s="83" t="s">
        <v>2504</v>
      </c>
      <c r="E45" s="106">
        <v>6408</v>
      </c>
      <c r="F45" s="14"/>
    </row>
    <row r="46" spans="1:6" ht="15" outlineLevel="2">
      <c r="A46" s="42"/>
      <c r="B46" s="87" t="s">
        <v>41</v>
      </c>
      <c r="C46" s="83" t="s">
        <v>1583</v>
      </c>
      <c r="D46" s="83" t="s">
        <v>1161</v>
      </c>
      <c r="E46" s="106">
        <v>57.34</v>
      </c>
      <c r="F46" s="14"/>
    </row>
    <row r="47" spans="1:6" ht="15" outlineLevel="2">
      <c r="A47" s="42"/>
      <c r="B47" s="87" t="s">
        <v>524</v>
      </c>
      <c r="C47" s="83" t="s">
        <v>1584</v>
      </c>
      <c r="D47" s="83" t="s">
        <v>2442</v>
      </c>
      <c r="E47" s="106">
        <v>197.69</v>
      </c>
      <c r="F47" s="14"/>
    </row>
    <row r="48" spans="1:6" ht="15" outlineLevel="2">
      <c r="A48" s="42"/>
      <c r="B48" s="87" t="s">
        <v>29</v>
      </c>
      <c r="C48" s="83" t="s">
        <v>1584</v>
      </c>
      <c r="D48" s="83" t="s">
        <v>2506</v>
      </c>
      <c r="E48" s="106">
        <v>2070.2</v>
      </c>
      <c r="F48" s="14"/>
    </row>
    <row r="49" spans="1:5" ht="14.25" customHeight="1" outlineLevel="1">
      <c r="A49" s="255" t="s">
        <v>1594</v>
      </c>
      <c r="B49" s="256"/>
      <c r="C49" s="256"/>
      <c r="D49" s="257"/>
      <c r="E49" s="105">
        <f>SUM(E50:E50)</f>
        <v>2704.33</v>
      </c>
    </row>
    <row r="50" spans="1:6" ht="15" outlineLevel="2">
      <c r="A50" s="42"/>
      <c r="B50" s="87" t="s">
        <v>610</v>
      </c>
      <c r="C50" s="83" t="s">
        <v>1581</v>
      </c>
      <c r="D50" s="83" t="s">
        <v>612</v>
      </c>
      <c r="E50" s="106">
        <v>2704.33</v>
      </c>
      <c r="F50" s="14"/>
    </row>
    <row r="51" spans="1:5" ht="14.25" customHeight="1" outlineLevel="1">
      <c r="A51" s="255" t="s">
        <v>1599</v>
      </c>
      <c r="B51" s="256"/>
      <c r="C51" s="256"/>
      <c r="D51" s="257"/>
      <c r="E51" s="105">
        <f>SUM(E52:E52)</f>
        <v>125.75</v>
      </c>
    </row>
    <row r="52" spans="1:6" ht="15" outlineLevel="2">
      <c r="A52" s="42"/>
      <c r="B52" s="83" t="s">
        <v>881</v>
      </c>
      <c r="C52" s="83" t="s">
        <v>1580</v>
      </c>
      <c r="D52" s="83" t="s">
        <v>892</v>
      </c>
      <c r="E52" s="106">
        <v>125.75</v>
      </c>
      <c r="F52" s="14"/>
    </row>
    <row r="53" spans="1:5" ht="12.75" customHeight="1" outlineLevel="1">
      <c r="A53" s="255" t="s">
        <v>1713</v>
      </c>
      <c r="B53" s="256"/>
      <c r="C53" s="256"/>
      <c r="D53" s="257"/>
      <c r="E53" s="105">
        <f>SUM(E54:E65)</f>
        <v>92539.08999999998</v>
      </c>
    </row>
    <row r="54" spans="1:6" ht="15" outlineLevel="2">
      <c r="A54" s="42"/>
      <c r="B54" s="82"/>
      <c r="C54" s="82" t="s">
        <v>1577</v>
      </c>
      <c r="D54" s="82" t="s">
        <v>1496</v>
      </c>
      <c r="E54" s="106">
        <v>7852.62</v>
      </c>
      <c r="F54" s="14"/>
    </row>
    <row r="55" spans="1:6" ht="15" outlineLevel="2">
      <c r="A55" s="42"/>
      <c r="B55" s="83"/>
      <c r="C55" s="83" t="s">
        <v>1578</v>
      </c>
      <c r="D55" s="83" t="s">
        <v>1496</v>
      </c>
      <c r="E55" s="106">
        <v>7852.62</v>
      </c>
      <c r="F55" s="14"/>
    </row>
    <row r="56" spans="1:6" ht="15" outlineLevel="2">
      <c r="A56" s="42"/>
      <c r="B56" s="83"/>
      <c r="C56" s="83" t="s">
        <v>1579</v>
      </c>
      <c r="D56" s="83" t="s">
        <v>1496</v>
      </c>
      <c r="E56" s="106">
        <v>7852.62</v>
      </c>
      <c r="F56" s="14"/>
    </row>
    <row r="57" spans="1:6" ht="15" outlineLevel="2">
      <c r="A57" s="42"/>
      <c r="B57" s="83"/>
      <c r="C57" s="83" t="s">
        <v>1580</v>
      </c>
      <c r="D57" s="83" t="s">
        <v>1496</v>
      </c>
      <c r="E57" s="106">
        <v>7852.62</v>
      </c>
      <c r="F57" s="14"/>
    </row>
    <row r="58" spans="1:6" ht="15" outlineLevel="2">
      <c r="A58" s="42"/>
      <c r="B58" s="83"/>
      <c r="C58" s="83" t="s">
        <v>1581</v>
      </c>
      <c r="D58" s="83" t="s">
        <v>1496</v>
      </c>
      <c r="E58" s="106">
        <v>7514.15</v>
      </c>
      <c r="F58" s="14"/>
    </row>
    <row r="59" spans="1:6" ht="15" outlineLevel="2">
      <c r="A59" s="42"/>
      <c r="B59" s="83"/>
      <c r="C59" s="83" t="s">
        <v>1582</v>
      </c>
      <c r="D59" s="83" t="s">
        <v>1496</v>
      </c>
      <c r="E59" s="106">
        <v>7514.15</v>
      </c>
      <c r="F59" s="14"/>
    </row>
    <row r="60" spans="1:6" ht="15" outlineLevel="2">
      <c r="A60" s="42"/>
      <c r="B60" s="83"/>
      <c r="C60" s="83" t="s">
        <v>1583</v>
      </c>
      <c r="D60" s="83" t="s">
        <v>1496</v>
      </c>
      <c r="E60" s="106">
        <v>7514.15</v>
      </c>
      <c r="F60" s="14"/>
    </row>
    <row r="61" spans="1:6" ht="15" outlineLevel="2">
      <c r="A61" s="42"/>
      <c r="B61" s="83"/>
      <c r="C61" s="83" t="s">
        <v>1584</v>
      </c>
      <c r="D61" s="83" t="s">
        <v>1496</v>
      </c>
      <c r="E61" s="106">
        <v>7514.15</v>
      </c>
      <c r="F61" s="14"/>
    </row>
    <row r="62" spans="1:6" ht="15" outlineLevel="2">
      <c r="A62" s="42"/>
      <c r="B62" s="83"/>
      <c r="C62" s="83" t="s">
        <v>1585</v>
      </c>
      <c r="D62" s="83" t="s">
        <v>1496</v>
      </c>
      <c r="E62" s="106">
        <v>7514.15</v>
      </c>
      <c r="F62" s="14"/>
    </row>
    <row r="63" spans="1:6" ht="15" outlineLevel="2">
      <c r="A63" s="42"/>
      <c r="B63" s="83"/>
      <c r="C63" s="83" t="s">
        <v>1586</v>
      </c>
      <c r="D63" s="83" t="s">
        <v>1496</v>
      </c>
      <c r="E63" s="106">
        <v>7852.62</v>
      </c>
      <c r="F63" s="14"/>
    </row>
    <row r="64" spans="1:6" ht="15" outlineLevel="2">
      <c r="A64" s="42"/>
      <c r="B64" s="83"/>
      <c r="C64" s="83" t="s">
        <v>1587</v>
      </c>
      <c r="D64" s="83" t="s">
        <v>1496</v>
      </c>
      <c r="E64" s="106">
        <v>7852.62</v>
      </c>
      <c r="F64" s="14"/>
    </row>
    <row r="65" spans="1:6" ht="15" outlineLevel="2">
      <c r="A65" s="42"/>
      <c r="B65" s="89"/>
      <c r="C65" s="83" t="s">
        <v>1588</v>
      </c>
      <c r="D65" s="83" t="s">
        <v>1496</v>
      </c>
      <c r="E65" s="106">
        <v>7852.62</v>
      </c>
      <c r="F65" s="14"/>
    </row>
    <row r="66" spans="1:5" ht="15.75" customHeight="1" outlineLevel="1">
      <c r="A66" s="255" t="s">
        <v>1714</v>
      </c>
      <c r="B66" s="256"/>
      <c r="C66" s="256"/>
      <c r="D66" s="257"/>
      <c r="E66" s="105">
        <f>1.46*2256.5*12</f>
        <v>39533.88</v>
      </c>
    </row>
    <row r="67" spans="1:5" ht="15" customHeight="1" outlineLevel="1">
      <c r="A67" s="255" t="s">
        <v>1715</v>
      </c>
      <c r="B67" s="256"/>
      <c r="C67" s="256"/>
      <c r="D67" s="257"/>
      <c r="E67" s="105">
        <f>SUM(E68:E75)</f>
        <v>6809.78</v>
      </c>
    </row>
    <row r="68" spans="1:6" ht="15" outlineLevel="2">
      <c r="A68" s="42"/>
      <c r="B68" s="83" t="s">
        <v>2</v>
      </c>
      <c r="C68" s="83" t="s">
        <v>1579</v>
      </c>
      <c r="D68" s="83" t="s">
        <v>1495</v>
      </c>
      <c r="E68" s="106">
        <v>53.04</v>
      </c>
      <c r="F68" s="14"/>
    </row>
    <row r="69" spans="1:6" ht="15" outlineLevel="2">
      <c r="A69" s="42"/>
      <c r="B69" s="83" t="s">
        <v>313</v>
      </c>
      <c r="C69" s="83" t="s">
        <v>1583</v>
      </c>
      <c r="D69" s="83" t="s">
        <v>1058</v>
      </c>
      <c r="E69" s="106">
        <v>505.47</v>
      </c>
      <c r="F69" s="14"/>
    </row>
    <row r="70" spans="1:6" ht="15" outlineLevel="2">
      <c r="A70" s="42"/>
      <c r="B70" s="83" t="s">
        <v>206</v>
      </c>
      <c r="C70" s="83" t="s">
        <v>1587</v>
      </c>
      <c r="D70" s="83" t="s">
        <v>207</v>
      </c>
      <c r="E70" s="106">
        <v>278.3</v>
      </c>
      <c r="F70" s="14"/>
    </row>
    <row r="71" spans="1:6" ht="15" outlineLevel="2">
      <c r="A71" s="42"/>
      <c r="B71" s="83" t="s">
        <v>1631</v>
      </c>
      <c r="C71" s="83" t="s">
        <v>1585</v>
      </c>
      <c r="D71" s="83" t="s">
        <v>110</v>
      </c>
      <c r="E71" s="106">
        <v>572.52</v>
      </c>
      <c r="F71" s="14"/>
    </row>
    <row r="72" spans="1:6" ht="15" outlineLevel="2">
      <c r="A72" s="42"/>
      <c r="B72" s="83" t="s">
        <v>529</v>
      </c>
      <c r="C72" s="83" t="s">
        <v>1586</v>
      </c>
      <c r="D72" s="83" t="s">
        <v>1005</v>
      </c>
      <c r="E72" s="106">
        <v>585.23</v>
      </c>
      <c r="F72" s="14"/>
    </row>
    <row r="73" spans="1:6" ht="15" outlineLevel="2">
      <c r="A73" s="42"/>
      <c r="B73" s="83" t="s">
        <v>2377</v>
      </c>
      <c r="C73" s="83" t="s">
        <v>1586</v>
      </c>
      <c r="D73" s="83" t="s">
        <v>110</v>
      </c>
      <c r="E73" s="106">
        <v>4344.41</v>
      </c>
      <c r="F73" s="14"/>
    </row>
    <row r="74" spans="1:6" ht="15" outlineLevel="2">
      <c r="A74" s="42"/>
      <c r="B74" s="83" t="s">
        <v>801</v>
      </c>
      <c r="C74" s="83" t="s">
        <v>1587</v>
      </c>
      <c r="D74" s="83" t="s">
        <v>803</v>
      </c>
      <c r="E74" s="106">
        <v>68.5</v>
      </c>
      <c r="F74" s="14"/>
    </row>
    <row r="75" spans="1:6" ht="15" outlineLevel="2">
      <c r="A75" s="42"/>
      <c r="B75" s="83" t="s">
        <v>1958</v>
      </c>
      <c r="C75" s="83" t="s">
        <v>1588</v>
      </c>
      <c r="D75" s="83" t="s">
        <v>1960</v>
      </c>
      <c r="E75" s="106">
        <v>402.31</v>
      </c>
      <c r="F75" s="14"/>
    </row>
    <row r="76" spans="1:5" ht="15" customHeight="1" outlineLevel="1">
      <c r="A76" s="255" t="s">
        <v>1716</v>
      </c>
      <c r="B76" s="256"/>
      <c r="C76" s="256"/>
      <c r="D76" s="257"/>
      <c r="E76" s="105">
        <f>SUM(E77:E77)</f>
        <v>476.06</v>
      </c>
    </row>
    <row r="77" spans="1:6" ht="15" outlineLevel="2">
      <c r="A77" s="42"/>
      <c r="B77" s="83" t="s">
        <v>1164</v>
      </c>
      <c r="C77" s="83" t="s">
        <v>1583</v>
      </c>
      <c r="D77" s="83" t="s">
        <v>233</v>
      </c>
      <c r="E77" s="106">
        <v>476.06</v>
      </c>
      <c r="F77" s="14"/>
    </row>
    <row r="78" spans="1:5" ht="12.75" customHeight="1" outlineLevel="1">
      <c r="A78" s="255" t="s">
        <v>1717</v>
      </c>
      <c r="B78" s="256"/>
      <c r="C78" s="256"/>
      <c r="D78" s="257"/>
      <c r="E78" s="105">
        <f>SUM(E79:E80)</f>
        <v>211.69</v>
      </c>
    </row>
    <row r="79" spans="1:6" ht="15" outlineLevel="2">
      <c r="A79" s="42"/>
      <c r="B79" s="83" t="s">
        <v>2</v>
      </c>
      <c r="C79" s="83" t="s">
        <v>1581</v>
      </c>
      <c r="D79" s="83" t="s">
        <v>942</v>
      </c>
      <c r="E79" s="106">
        <v>166.69</v>
      </c>
      <c r="F79" s="14"/>
    </row>
    <row r="80" spans="1:6" ht="15" outlineLevel="2">
      <c r="A80" s="42"/>
      <c r="B80" s="83" t="s">
        <v>2</v>
      </c>
      <c r="C80" s="83" t="s">
        <v>1587</v>
      </c>
      <c r="D80" s="83" t="s">
        <v>942</v>
      </c>
      <c r="E80" s="106">
        <v>45</v>
      </c>
      <c r="F80" s="14"/>
    </row>
    <row r="81" spans="1:5" ht="13.5" customHeight="1" outlineLevel="1">
      <c r="A81" s="255" t="s">
        <v>1595</v>
      </c>
      <c r="B81" s="256"/>
      <c r="C81" s="256"/>
      <c r="D81" s="257"/>
      <c r="E81" s="105">
        <f>SUM(E82:E92)</f>
        <v>32046.57</v>
      </c>
    </row>
    <row r="82" spans="1:6" ht="15" outlineLevel="2">
      <c r="A82" s="42"/>
      <c r="B82" s="82" t="s">
        <v>5</v>
      </c>
      <c r="C82" s="82" t="s">
        <v>1577</v>
      </c>
      <c r="D82" s="82" t="s">
        <v>2195</v>
      </c>
      <c r="E82" s="106">
        <v>23.9</v>
      </c>
      <c r="F82" s="14"/>
    </row>
    <row r="83" spans="1:6" ht="15" outlineLevel="2">
      <c r="A83" s="42"/>
      <c r="B83" s="83" t="s">
        <v>64</v>
      </c>
      <c r="C83" s="83" t="s">
        <v>1577</v>
      </c>
      <c r="D83" s="83" t="s">
        <v>372</v>
      </c>
      <c r="E83" s="106">
        <v>462.8</v>
      </c>
      <c r="F83" s="14"/>
    </row>
    <row r="84" spans="1:6" ht="15" outlineLevel="2">
      <c r="A84" s="42"/>
      <c r="B84" s="83" t="s">
        <v>1061</v>
      </c>
      <c r="C84" s="83" t="s">
        <v>1578</v>
      </c>
      <c r="D84" s="83" t="s">
        <v>2026</v>
      </c>
      <c r="E84" s="106">
        <v>32.1</v>
      </c>
      <c r="F84" s="14"/>
    </row>
    <row r="85" spans="1:6" ht="15" outlineLevel="2">
      <c r="A85" s="42"/>
      <c r="B85" s="83" t="s">
        <v>1992</v>
      </c>
      <c r="C85" s="83" t="s">
        <v>1579</v>
      </c>
      <c r="D85" s="83" t="s">
        <v>1610</v>
      </c>
      <c r="E85" s="106">
        <v>264.11</v>
      </c>
      <c r="F85" s="14"/>
    </row>
    <row r="86" spans="1:6" ht="15" outlineLevel="2">
      <c r="A86" s="42"/>
      <c r="B86" s="83" t="s">
        <v>1244</v>
      </c>
      <c r="C86" s="83" t="s">
        <v>1580</v>
      </c>
      <c r="D86" s="83" t="s">
        <v>678</v>
      </c>
      <c r="E86" s="106">
        <v>290.41</v>
      </c>
      <c r="F86" s="14"/>
    </row>
    <row r="87" spans="1:6" ht="15" outlineLevel="2">
      <c r="A87" s="42"/>
      <c r="B87" s="83" t="s">
        <v>1703</v>
      </c>
      <c r="C87" s="83" t="s">
        <v>1581</v>
      </c>
      <c r="D87" s="83" t="s">
        <v>50</v>
      </c>
      <c r="E87" s="106">
        <v>265</v>
      </c>
      <c r="F87" s="14"/>
    </row>
    <row r="88" spans="1:6" ht="15" outlineLevel="2">
      <c r="A88" s="42"/>
      <c r="B88" s="83" t="s">
        <v>431</v>
      </c>
      <c r="C88" s="83" t="s">
        <v>57</v>
      </c>
      <c r="D88" s="83" t="s">
        <v>432</v>
      </c>
      <c r="E88" s="106">
        <v>28739</v>
      </c>
      <c r="F88" s="14"/>
    </row>
    <row r="89" spans="1:6" ht="15" outlineLevel="2">
      <c r="A89" s="42"/>
      <c r="B89" s="83" t="s">
        <v>1255</v>
      </c>
      <c r="C89" s="83" t="s">
        <v>1582</v>
      </c>
      <c r="D89" s="83" t="s">
        <v>590</v>
      </c>
      <c r="E89" s="106">
        <v>557.06</v>
      </c>
      <c r="F89" s="14"/>
    </row>
    <row r="90" spans="1:6" ht="15" outlineLevel="2">
      <c r="A90" s="42"/>
      <c r="B90" s="83" t="s">
        <v>629</v>
      </c>
      <c r="C90" s="83" t="s">
        <v>1584</v>
      </c>
      <c r="D90" s="83" t="s">
        <v>630</v>
      </c>
      <c r="E90" s="106">
        <v>576.73</v>
      </c>
      <c r="F90" s="14"/>
    </row>
    <row r="91" spans="1:6" ht="15" outlineLevel="2">
      <c r="A91" s="42"/>
      <c r="B91" s="83" t="s">
        <v>1282</v>
      </c>
      <c r="C91" s="83" t="s">
        <v>1587</v>
      </c>
      <c r="D91" s="83" t="s">
        <v>1283</v>
      </c>
      <c r="E91" s="106">
        <v>77.46</v>
      </c>
      <c r="F91" s="14"/>
    </row>
    <row r="92" spans="1:6" ht="15" outlineLevel="2">
      <c r="A92" s="42"/>
      <c r="B92" s="83" t="s">
        <v>993</v>
      </c>
      <c r="C92" s="83" t="s">
        <v>1588</v>
      </c>
      <c r="D92" s="83" t="s">
        <v>994</v>
      </c>
      <c r="E92" s="106">
        <v>758</v>
      </c>
      <c r="F92" s="14"/>
    </row>
    <row r="93" spans="1:5" ht="12.75" customHeight="1" outlineLevel="1">
      <c r="A93" s="255" t="s">
        <v>1718</v>
      </c>
      <c r="B93" s="256"/>
      <c r="C93" s="256"/>
      <c r="D93" s="257"/>
      <c r="E93" s="105">
        <f>SUM(E94:E97)</f>
        <v>2550.4900000000002</v>
      </c>
    </row>
    <row r="94" spans="1:6" ht="15" outlineLevel="2">
      <c r="A94" s="42"/>
      <c r="B94" s="82" t="s">
        <v>2</v>
      </c>
      <c r="C94" s="82" t="s">
        <v>1577</v>
      </c>
      <c r="D94" s="82" t="s">
        <v>1897</v>
      </c>
      <c r="E94" s="106">
        <v>1161.92</v>
      </c>
      <c r="F94" s="14"/>
    </row>
    <row r="95" spans="1:6" ht="15" outlineLevel="2">
      <c r="A95" s="42"/>
      <c r="B95" s="83" t="s">
        <v>2</v>
      </c>
      <c r="C95" s="83" t="s">
        <v>57</v>
      </c>
      <c r="D95" s="83" t="s">
        <v>721</v>
      </c>
      <c r="E95" s="106">
        <v>120.73</v>
      </c>
      <c r="F95" s="14"/>
    </row>
    <row r="96" spans="1:6" ht="15" outlineLevel="2">
      <c r="A96" s="42"/>
      <c r="B96" s="83" t="s">
        <v>2</v>
      </c>
      <c r="C96" s="83" t="s">
        <v>1581</v>
      </c>
      <c r="D96" s="83" t="s">
        <v>2390</v>
      </c>
      <c r="E96" s="106">
        <v>1133.44</v>
      </c>
      <c r="F96" s="14"/>
    </row>
    <row r="97" spans="1:6" ht="15" outlineLevel="2">
      <c r="A97" s="42"/>
      <c r="B97" s="84" t="s">
        <v>2</v>
      </c>
      <c r="C97" s="84" t="s">
        <v>57</v>
      </c>
      <c r="D97" s="84" t="s">
        <v>936</v>
      </c>
      <c r="E97" s="106">
        <v>134.4</v>
      </c>
      <c r="F97" s="14"/>
    </row>
    <row r="98" spans="1:6" ht="14.25" customHeight="1" outlineLevel="2">
      <c r="A98" s="255" t="s">
        <v>0</v>
      </c>
      <c r="B98" s="256"/>
      <c r="C98" s="256"/>
      <c r="D98" s="257"/>
      <c r="E98" s="105">
        <f>0.1*2256.5*12</f>
        <v>2707.8</v>
      </c>
      <c r="F98" s="14"/>
    </row>
    <row r="99" spans="1:6" ht="13.5" customHeight="1" outlineLevel="2">
      <c r="A99" s="320" t="s">
        <v>1369</v>
      </c>
      <c r="B99" s="320"/>
      <c r="C99" s="320"/>
      <c r="D99" s="320"/>
      <c r="E99" s="105">
        <v>3166.66</v>
      </c>
      <c r="F99" s="14"/>
    </row>
    <row r="100" spans="1:6" ht="15">
      <c r="A100" s="42"/>
      <c r="B100" s="273" t="s">
        <v>255</v>
      </c>
      <c r="C100" s="273"/>
      <c r="D100" s="273"/>
      <c r="E100" s="43">
        <f>0.94*2256.5*12</f>
        <v>25453.319999999996</v>
      </c>
      <c r="F100" s="26"/>
    </row>
    <row r="101" spans="1:6" ht="15">
      <c r="A101" s="42"/>
      <c r="B101" s="270" t="s">
        <v>59</v>
      </c>
      <c r="C101" s="270"/>
      <c r="D101" s="270"/>
      <c r="E101" s="43">
        <f>1.57*2256.5*12</f>
        <v>42512.46</v>
      </c>
      <c r="F101" s="14"/>
    </row>
    <row r="102" spans="1:6" ht="15">
      <c r="A102" s="42"/>
      <c r="B102" s="270" t="s">
        <v>1712</v>
      </c>
      <c r="C102" s="270"/>
      <c r="D102" s="270"/>
      <c r="E102" s="43">
        <f>5.02*2256.5*12</f>
        <v>135931.56</v>
      </c>
      <c r="F102" s="14"/>
    </row>
    <row r="103" spans="1:6" ht="15">
      <c r="A103" s="42"/>
      <c r="B103" s="270" t="s">
        <v>256</v>
      </c>
      <c r="C103" s="270"/>
      <c r="D103" s="270"/>
      <c r="E103" s="43">
        <f>10.3*(E105+E106)/100</f>
        <v>72686.60045</v>
      </c>
      <c r="F103" s="14"/>
    </row>
    <row r="104" spans="1:5" ht="15">
      <c r="A104" s="42">
        <v>1</v>
      </c>
      <c r="B104" s="272" t="s">
        <v>659</v>
      </c>
      <c r="C104" s="272"/>
      <c r="D104" s="272"/>
      <c r="E104" s="44">
        <f>E103+E102+E101+E100+E6+E3</f>
        <v>514441.21044999996</v>
      </c>
    </row>
    <row r="105" spans="1:6" ht="15">
      <c r="A105" s="42">
        <v>2</v>
      </c>
      <c r="B105" s="270" t="s">
        <v>258</v>
      </c>
      <c r="C105" s="270"/>
      <c r="D105" s="270"/>
      <c r="E105" s="43">
        <v>635644.19</v>
      </c>
      <c r="F105" s="14"/>
    </row>
    <row r="106" spans="1:5" ht="15">
      <c r="A106" s="42">
        <v>3</v>
      </c>
      <c r="B106" s="270" t="s">
        <v>259</v>
      </c>
      <c r="C106" s="270"/>
      <c r="D106" s="270"/>
      <c r="E106" s="43">
        <v>70050.96</v>
      </c>
    </row>
    <row r="107" spans="1:5" ht="15">
      <c r="A107" s="42">
        <v>4</v>
      </c>
      <c r="B107" s="270" t="s">
        <v>660</v>
      </c>
      <c r="C107" s="270"/>
      <c r="D107" s="270"/>
      <c r="E107" s="43">
        <v>1698701.34</v>
      </c>
    </row>
    <row r="108" spans="1:5" ht="15">
      <c r="A108" s="42">
        <v>5</v>
      </c>
      <c r="B108" s="270" t="s">
        <v>2340</v>
      </c>
      <c r="C108" s="270"/>
      <c r="D108" s="270"/>
      <c r="E108" s="43">
        <v>1463755.09</v>
      </c>
    </row>
    <row r="109" spans="1:5" ht="15">
      <c r="A109" s="42">
        <v>6</v>
      </c>
      <c r="B109" s="272" t="s">
        <v>2341</v>
      </c>
      <c r="C109" s="272"/>
      <c r="D109" s="272"/>
      <c r="E109" s="44">
        <f>'[5]Комсомольский 36'!$E$80+E104</f>
        <v>1285702.60045</v>
      </c>
    </row>
    <row r="110" spans="1:5" ht="15">
      <c r="A110" s="42">
        <v>7</v>
      </c>
      <c r="B110" s="270" t="s">
        <v>732</v>
      </c>
      <c r="C110" s="270"/>
      <c r="D110" s="270"/>
      <c r="E110" s="43">
        <v>215593.2</v>
      </c>
    </row>
    <row r="111" spans="1:5" ht="15">
      <c r="A111" s="42">
        <v>8</v>
      </c>
      <c r="B111" s="270" t="s">
        <v>733</v>
      </c>
      <c r="C111" s="270"/>
      <c r="D111" s="270"/>
      <c r="E111" s="43">
        <v>185261.4</v>
      </c>
    </row>
    <row r="112" spans="1:5" ht="15">
      <c r="A112" s="42">
        <v>9</v>
      </c>
      <c r="B112" s="272" t="s">
        <v>734</v>
      </c>
      <c r="C112" s="272"/>
      <c r="D112" s="272"/>
      <c r="E112" s="44">
        <f>'[5]Комсомольский 36'!$E$83</f>
        <v>367783</v>
      </c>
    </row>
    <row r="113" spans="1:5" ht="15">
      <c r="A113" s="42">
        <v>10</v>
      </c>
      <c r="B113" s="270" t="s">
        <v>260</v>
      </c>
      <c r="C113" s="270"/>
      <c r="D113" s="270"/>
      <c r="E113" s="43">
        <v>566950.89</v>
      </c>
    </row>
    <row r="114" spans="1:5" ht="15">
      <c r="A114" s="42">
        <v>11</v>
      </c>
      <c r="B114" s="270" t="s">
        <v>735</v>
      </c>
      <c r="C114" s="270"/>
      <c r="D114" s="270"/>
      <c r="E114" s="43">
        <v>62480.64</v>
      </c>
    </row>
    <row r="115" spans="1:5" ht="15">
      <c r="A115" s="42">
        <v>12</v>
      </c>
      <c r="B115" s="272" t="s">
        <v>736</v>
      </c>
      <c r="C115" s="272"/>
      <c r="D115" s="272"/>
      <c r="E115" s="44">
        <v>0</v>
      </c>
    </row>
    <row r="116" spans="1:5" ht="20.25" customHeight="1">
      <c r="A116" s="42">
        <v>13</v>
      </c>
      <c r="B116" s="271" t="s">
        <v>737</v>
      </c>
      <c r="C116" s="271"/>
      <c r="D116" s="271"/>
      <c r="E116" s="45">
        <f>E107-E109</f>
        <v>412998.73955000006</v>
      </c>
    </row>
    <row r="117" spans="1:5" ht="18.75" customHeight="1">
      <c r="A117" s="42">
        <v>14</v>
      </c>
      <c r="B117" s="271" t="s">
        <v>738</v>
      </c>
      <c r="C117" s="271"/>
      <c r="D117" s="271"/>
      <c r="E117" s="45">
        <f>E110-E112</f>
        <v>-152189.8</v>
      </c>
    </row>
    <row r="118" spans="1:5" ht="27" customHeight="1">
      <c r="A118" s="42">
        <v>15</v>
      </c>
      <c r="B118" s="271" t="s">
        <v>739</v>
      </c>
      <c r="C118" s="271"/>
      <c r="D118" s="271"/>
      <c r="E118" s="45">
        <f>E108-E109</f>
        <v>178052.48955000006</v>
      </c>
    </row>
    <row r="119" ht="12.75">
      <c r="E119" s="39"/>
    </row>
    <row r="120" spans="1:5" ht="102">
      <c r="A120" s="12" t="s">
        <v>492</v>
      </c>
      <c r="E120" s="39"/>
    </row>
    <row r="121" spans="1:5" ht="89.25">
      <c r="A121" s="12" t="s">
        <v>493</v>
      </c>
      <c r="E121" s="39"/>
    </row>
    <row r="122" spans="1:5" ht="216.75">
      <c r="A122" s="12" t="s">
        <v>494</v>
      </c>
      <c r="E122" s="39"/>
    </row>
    <row r="123" spans="1:5" ht="89.25">
      <c r="A123" s="12" t="s">
        <v>495</v>
      </c>
      <c r="E123" s="39"/>
    </row>
  </sheetData>
  <sheetProtection/>
  <mergeCells count="39">
    <mergeCell ref="A98:D98"/>
    <mergeCell ref="A99:D99"/>
    <mergeCell ref="A76:D76"/>
    <mergeCell ref="A78:D78"/>
    <mergeCell ref="A81:D81"/>
    <mergeCell ref="A93:D93"/>
    <mergeCell ref="A1:E1"/>
    <mergeCell ref="A4:D4"/>
    <mergeCell ref="A7:D7"/>
    <mergeCell ref="A17:D17"/>
    <mergeCell ref="A66:D66"/>
    <mergeCell ref="A67:D67"/>
    <mergeCell ref="A51:D51"/>
    <mergeCell ref="A53:D53"/>
    <mergeCell ref="B118:D118"/>
    <mergeCell ref="B110:D110"/>
    <mergeCell ref="B111:D111"/>
    <mergeCell ref="B112:D112"/>
    <mergeCell ref="B113:D113"/>
    <mergeCell ref="B116:D116"/>
    <mergeCell ref="B115:D115"/>
    <mergeCell ref="B107:D107"/>
    <mergeCell ref="B104:D104"/>
    <mergeCell ref="B117:D117"/>
    <mergeCell ref="B105:D105"/>
    <mergeCell ref="B109:D109"/>
    <mergeCell ref="B114:D114"/>
    <mergeCell ref="B106:D106"/>
    <mergeCell ref="B108:D108"/>
    <mergeCell ref="B103:D103"/>
    <mergeCell ref="B3:C3"/>
    <mergeCell ref="B6:C6"/>
    <mergeCell ref="B100:D100"/>
    <mergeCell ref="B101:D101"/>
    <mergeCell ref="B5:D5"/>
    <mergeCell ref="B102:D102"/>
    <mergeCell ref="A23:D23"/>
    <mergeCell ref="A40:D40"/>
    <mergeCell ref="A49:D49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13.421875" defaultRowHeight="12.75" outlineLevelRow="2"/>
  <cols>
    <col min="1" max="1" width="14.28125" style="1" customWidth="1"/>
    <col min="2" max="2" width="9.57421875" style="1" customWidth="1"/>
    <col min="3" max="3" width="80.421875" style="1" customWidth="1"/>
    <col min="4" max="4" width="14.57421875" style="1" customWidth="1"/>
    <col min="5" max="6" width="11.421875" style="1" customWidth="1"/>
    <col min="7" max="96" width="12.421875" style="1" customWidth="1"/>
    <col min="97" max="16384" width="13.421875" style="1" customWidth="1"/>
  </cols>
  <sheetData>
    <row r="1" spans="1:4" ht="13.5" customHeight="1">
      <c r="A1" s="333" t="s">
        <v>456</v>
      </c>
      <c r="B1" s="334"/>
      <c r="C1" s="334"/>
      <c r="D1" s="335"/>
    </row>
    <row r="2" spans="1:4" ht="30">
      <c r="A2" s="133" t="s">
        <v>1570</v>
      </c>
      <c r="B2" s="134" t="s">
        <v>1571</v>
      </c>
      <c r="C2" s="113" t="s">
        <v>1572</v>
      </c>
      <c r="D2" s="135" t="s">
        <v>1573</v>
      </c>
    </row>
    <row r="3" spans="1:4" ht="12.75" customHeight="1">
      <c r="A3" s="302" t="s">
        <v>1575</v>
      </c>
      <c r="B3" s="302"/>
      <c r="C3" s="326"/>
      <c r="D3" s="156">
        <f>D4+D6+D8+D11+D14</f>
        <v>95687.6</v>
      </c>
    </row>
    <row r="4" spans="1:4" ht="15" outlineLevel="1">
      <c r="A4" s="255" t="s">
        <v>1590</v>
      </c>
      <c r="B4" s="321"/>
      <c r="C4" s="322"/>
      <c r="D4" s="105">
        <f>SUM(D5:D5)</f>
        <v>231.1</v>
      </c>
    </row>
    <row r="5" spans="1:4" ht="15" outlineLevel="2">
      <c r="A5" s="83" t="s">
        <v>2143</v>
      </c>
      <c r="B5" s="83" t="s">
        <v>1577</v>
      </c>
      <c r="C5" s="83" t="s">
        <v>2142</v>
      </c>
      <c r="D5" s="106">
        <v>231.1</v>
      </c>
    </row>
    <row r="6" spans="1:4" ht="14.25" customHeight="1" outlineLevel="1">
      <c r="A6" s="255" t="s">
        <v>1591</v>
      </c>
      <c r="B6" s="321"/>
      <c r="C6" s="322"/>
      <c r="D6" s="105">
        <f>SUM(D7:D7)</f>
        <v>8015.52</v>
      </c>
    </row>
    <row r="7" spans="1:4" ht="15" outlineLevel="2">
      <c r="A7" s="83" t="s">
        <v>1568</v>
      </c>
      <c r="B7" s="83" t="s">
        <v>1579</v>
      </c>
      <c r="C7" s="83" t="s">
        <v>1569</v>
      </c>
      <c r="D7" s="106">
        <v>8015.52</v>
      </c>
    </row>
    <row r="8" spans="1:4" ht="15" customHeight="1" outlineLevel="1">
      <c r="A8" s="255" t="s">
        <v>1593</v>
      </c>
      <c r="B8" s="321"/>
      <c r="C8" s="322"/>
      <c r="D8" s="105">
        <f>SUM(D9:D10)</f>
        <v>56837</v>
      </c>
    </row>
    <row r="9" spans="1:4" ht="15" outlineLevel="2">
      <c r="A9" s="83" t="s">
        <v>1377</v>
      </c>
      <c r="B9" s="83" t="s">
        <v>1583</v>
      </c>
      <c r="C9" s="83" t="s">
        <v>1376</v>
      </c>
      <c r="D9" s="106">
        <v>29544</v>
      </c>
    </row>
    <row r="10" spans="1:4" ht="15" outlineLevel="2">
      <c r="A10" s="83" t="s">
        <v>874</v>
      </c>
      <c r="B10" s="83" t="s">
        <v>1583</v>
      </c>
      <c r="C10" s="83" t="s">
        <v>1381</v>
      </c>
      <c r="D10" s="106">
        <v>27293</v>
      </c>
    </row>
    <row r="11" spans="1:4" ht="14.25" customHeight="1" outlineLevel="1">
      <c r="A11" s="255" t="s">
        <v>1594</v>
      </c>
      <c r="B11" s="321"/>
      <c r="C11" s="322"/>
      <c r="D11" s="105">
        <f>SUM(D12:D13)</f>
        <v>28639.04</v>
      </c>
    </row>
    <row r="12" spans="1:4" ht="15" outlineLevel="2">
      <c r="A12" s="83" t="s">
        <v>1478</v>
      </c>
      <c r="B12" s="83" t="s">
        <v>1578</v>
      </c>
      <c r="C12" s="83" t="s">
        <v>1479</v>
      </c>
      <c r="D12" s="106">
        <v>10302.04</v>
      </c>
    </row>
    <row r="13" spans="1:4" ht="12" customHeight="1" outlineLevel="2">
      <c r="A13" s="83" t="s">
        <v>242</v>
      </c>
      <c r="B13" s="83" t="s">
        <v>1584</v>
      </c>
      <c r="C13" s="83" t="s">
        <v>243</v>
      </c>
      <c r="D13" s="106">
        <v>18337</v>
      </c>
    </row>
    <row r="14" spans="1:4" ht="12.75" customHeight="1" outlineLevel="1">
      <c r="A14" s="255" t="s">
        <v>1599</v>
      </c>
      <c r="B14" s="321"/>
      <c r="C14" s="322"/>
      <c r="D14" s="105">
        <f>SUM(D15:D15)</f>
        <v>1964.94</v>
      </c>
    </row>
    <row r="15" spans="1:4" ht="15" outlineLevel="2">
      <c r="A15" s="83" t="s">
        <v>1691</v>
      </c>
      <c r="B15" s="83" t="s">
        <v>1582</v>
      </c>
      <c r="C15" s="83" t="s">
        <v>821</v>
      </c>
      <c r="D15" s="106">
        <v>1964.94</v>
      </c>
    </row>
    <row r="16" spans="1:4" ht="13.5" customHeight="1">
      <c r="A16" s="264" t="s">
        <v>1600</v>
      </c>
      <c r="B16" s="321"/>
      <c r="C16" s="322"/>
      <c r="D16" s="156">
        <f>D17+D26+D28+D41+D52+D54+D57+D70+D79+D81+D86</f>
        <v>115247.28000000003</v>
      </c>
    </row>
    <row r="17" spans="1:4" ht="15" outlineLevel="1">
      <c r="A17" s="256" t="s">
        <v>1576</v>
      </c>
      <c r="B17" s="321"/>
      <c r="C17" s="322"/>
      <c r="D17" s="105">
        <f>SUM(D18:D25)</f>
        <v>5362.429999999999</v>
      </c>
    </row>
    <row r="18" spans="1:4" ht="15" outlineLevel="2">
      <c r="A18" s="83" t="s">
        <v>2</v>
      </c>
      <c r="B18" s="83" t="s">
        <v>1577</v>
      </c>
      <c r="C18" s="83" t="s">
        <v>1508</v>
      </c>
      <c r="D18" s="106">
        <v>133.75</v>
      </c>
    </row>
    <row r="19" spans="1:4" ht="15" outlineLevel="2">
      <c r="A19" s="83" t="s">
        <v>2</v>
      </c>
      <c r="B19" s="83" t="s">
        <v>1580</v>
      </c>
      <c r="C19" s="83" t="s">
        <v>2277</v>
      </c>
      <c r="D19" s="106">
        <v>21.69</v>
      </c>
    </row>
    <row r="20" spans="1:4" ht="15" outlineLevel="2">
      <c r="A20" s="83" t="s">
        <v>875</v>
      </c>
      <c r="B20" s="83" t="s">
        <v>1582</v>
      </c>
      <c r="C20" s="83" t="s">
        <v>1855</v>
      </c>
      <c r="D20" s="106">
        <v>3785.95</v>
      </c>
    </row>
    <row r="21" spans="1:4" ht="15" outlineLevel="2">
      <c r="A21" s="83" t="s">
        <v>1039</v>
      </c>
      <c r="B21" s="83" t="s">
        <v>1582</v>
      </c>
      <c r="C21" s="83" t="s">
        <v>1048</v>
      </c>
      <c r="D21" s="106">
        <v>82.9</v>
      </c>
    </row>
    <row r="22" spans="1:4" ht="30" outlineLevel="2">
      <c r="A22" s="83" t="s">
        <v>508</v>
      </c>
      <c r="B22" s="83" t="s">
        <v>1582</v>
      </c>
      <c r="C22" s="83" t="s">
        <v>509</v>
      </c>
      <c r="D22" s="106">
        <v>140</v>
      </c>
    </row>
    <row r="23" spans="1:4" ht="15" outlineLevel="2">
      <c r="A23" s="83" t="s">
        <v>1695</v>
      </c>
      <c r="B23" s="83" t="s">
        <v>1583</v>
      </c>
      <c r="C23" s="83" t="s">
        <v>1146</v>
      </c>
      <c r="D23" s="106">
        <v>41.07</v>
      </c>
    </row>
    <row r="24" spans="1:4" ht="15" outlineLevel="2">
      <c r="A24" s="83" t="s">
        <v>1033</v>
      </c>
      <c r="B24" s="83" t="s">
        <v>1583</v>
      </c>
      <c r="C24" s="83" t="s">
        <v>509</v>
      </c>
      <c r="D24" s="106">
        <v>1076.92</v>
      </c>
    </row>
    <row r="25" spans="1:4" ht="15" outlineLevel="2">
      <c r="A25" s="83" t="s">
        <v>2</v>
      </c>
      <c r="B25" s="83" t="s">
        <v>1583</v>
      </c>
      <c r="C25" s="83" t="s">
        <v>855</v>
      </c>
      <c r="D25" s="106">
        <v>80.15</v>
      </c>
    </row>
    <row r="26" spans="1:4" ht="15" outlineLevel="1">
      <c r="A26" s="256" t="s">
        <v>1589</v>
      </c>
      <c r="B26" s="321"/>
      <c r="C26" s="322"/>
      <c r="D26" s="105">
        <f>SUM(D27:D27)</f>
        <v>2282</v>
      </c>
    </row>
    <row r="27" spans="1:4" ht="15" outlineLevel="2">
      <c r="A27" s="83" t="s">
        <v>14</v>
      </c>
      <c r="B27" s="83" t="s">
        <v>1579</v>
      </c>
      <c r="C27" s="83" t="s">
        <v>2173</v>
      </c>
      <c r="D27" s="106">
        <v>2282</v>
      </c>
    </row>
    <row r="28" spans="1:4" ht="15" outlineLevel="1">
      <c r="A28" s="256" t="s">
        <v>1590</v>
      </c>
      <c r="B28" s="321"/>
      <c r="C28" s="322"/>
      <c r="D28" s="105">
        <f>SUM(D29:D40)</f>
        <v>21109.72</v>
      </c>
    </row>
    <row r="29" spans="1:4" ht="30" outlineLevel="2">
      <c r="A29" s="87" t="s">
        <v>2143</v>
      </c>
      <c r="B29" s="83" t="s">
        <v>1577</v>
      </c>
      <c r="C29" s="83" t="s">
        <v>428</v>
      </c>
      <c r="D29" s="106">
        <v>231.1</v>
      </c>
    </row>
    <row r="30" spans="1:4" ht="15" outlineLevel="2">
      <c r="A30" s="87" t="s">
        <v>2</v>
      </c>
      <c r="B30" s="83" t="s">
        <v>1577</v>
      </c>
      <c r="C30" s="83" t="s">
        <v>1724</v>
      </c>
      <c r="D30" s="106">
        <v>100.3</v>
      </c>
    </row>
    <row r="31" spans="1:4" ht="15" outlineLevel="2">
      <c r="A31" s="87" t="s">
        <v>1701</v>
      </c>
      <c r="B31" s="83" t="s">
        <v>1580</v>
      </c>
      <c r="C31" s="83" t="s">
        <v>1063</v>
      </c>
      <c r="D31" s="106">
        <v>5982.7</v>
      </c>
    </row>
    <row r="32" spans="1:4" ht="15" outlineLevel="2">
      <c r="A32" s="87" t="s">
        <v>836</v>
      </c>
      <c r="B32" s="83" t="s">
        <v>1580</v>
      </c>
      <c r="C32" s="83" t="s">
        <v>839</v>
      </c>
      <c r="D32" s="106">
        <v>81.8</v>
      </c>
    </row>
    <row r="33" spans="1:4" ht="15" outlineLevel="2">
      <c r="A33" s="87" t="s">
        <v>2</v>
      </c>
      <c r="B33" s="83" t="s">
        <v>1581</v>
      </c>
      <c r="C33" s="83" t="s">
        <v>940</v>
      </c>
      <c r="D33" s="106">
        <v>165.51</v>
      </c>
    </row>
    <row r="34" spans="1:4" ht="15" outlineLevel="2">
      <c r="A34" s="87" t="s">
        <v>33</v>
      </c>
      <c r="B34" s="83" t="s">
        <v>1584</v>
      </c>
      <c r="C34" s="83" t="s">
        <v>702</v>
      </c>
      <c r="D34" s="106">
        <v>1995.6</v>
      </c>
    </row>
    <row r="35" spans="1:4" ht="15" outlineLevel="2">
      <c r="A35" s="87" t="s">
        <v>197</v>
      </c>
      <c r="B35" s="83" t="s">
        <v>1584</v>
      </c>
      <c r="C35" s="83" t="s">
        <v>760</v>
      </c>
      <c r="D35" s="106">
        <v>5627.7</v>
      </c>
    </row>
    <row r="36" spans="1:4" ht="15" outlineLevel="2">
      <c r="A36" s="87" t="s">
        <v>1389</v>
      </c>
      <c r="B36" s="83" t="s">
        <v>1585</v>
      </c>
      <c r="C36" s="83" t="s">
        <v>1390</v>
      </c>
      <c r="D36" s="106">
        <v>3853.28</v>
      </c>
    </row>
    <row r="37" spans="1:4" ht="15" outlineLevel="2">
      <c r="A37" s="87" t="s">
        <v>334</v>
      </c>
      <c r="B37" s="83" t="s">
        <v>1586</v>
      </c>
      <c r="C37" s="83" t="s">
        <v>335</v>
      </c>
      <c r="D37" s="106">
        <v>45.06</v>
      </c>
    </row>
    <row r="38" spans="1:4" ht="30" outlineLevel="2">
      <c r="A38" s="87" t="s">
        <v>192</v>
      </c>
      <c r="B38" s="83" t="s">
        <v>1586</v>
      </c>
      <c r="C38" s="83" t="s">
        <v>783</v>
      </c>
      <c r="D38" s="106">
        <v>1470.65</v>
      </c>
    </row>
    <row r="39" spans="1:4" ht="15" outlineLevel="2">
      <c r="A39" s="87" t="s">
        <v>1199</v>
      </c>
      <c r="B39" s="83" t="s">
        <v>1587</v>
      </c>
      <c r="C39" s="83" t="s">
        <v>1179</v>
      </c>
      <c r="D39" s="106">
        <v>91.06</v>
      </c>
    </row>
    <row r="40" spans="1:4" ht="15" outlineLevel="2">
      <c r="A40" s="87" t="s">
        <v>1953</v>
      </c>
      <c r="B40" s="83" t="s">
        <v>1588</v>
      </c>
      <c r="C40" s="83" t="s">
        <v>1954</v>
      </c>
      <c r="D40" s="106">
        <v>1464.96</v>
      </c>
    </row>
    <row r="41" spans="1:4" ht="15.75" customHeight="1" outlineLevel="1">
      <c r="A41" s="256" t="s">
        <v>1591</v>
      </c>
      <c r="B41" s="321"/>
      <c r="C41" s="322"/>
      <c r="D41" s="105">
        <f>SUM(D42:D51)</f>
        <v>11476.210000000003</v>
      </c>
    </row>
    <row r="42" spans="1:4" ht="15.75" customHeight="1" outlineLevel="2">
      <c r="A42" s="87" t="s">
        <v>871</v>
      </c>
      <c r="B42" s="83" t="s">
        <v>1577</v>
      </c>
      <c r="C42" s="83" t="s">
        <v>265</v>
      </c>
      <c r="D42" s="106">
        <v>722.8</v>
      </c>
    </row>
    <row r="43" spans="1:4" ht="15" outlineLevel="2">
      <c r="A43" s="87" t="s">
        <v>1267</v>
      </c>
      <c r="B43" s="83" t="s">
        <v>1577</v>
      </c>
      <c r="C43" s="83" t="s">
        <v>862</v>
      </c>
      <c r="D43" s="106">
        <v>267.5</v>
      </c>
    </row>
    <row r="44" spans="1:4" ht="15" outlineLevel="2">
      <c r="A44" s="87" t="s">
        <v>1064</v>
      </c>
      <c r="B44" s="83" t="s">
        <v>1579</v>
      </c>
      <c r="C44" s="83" t="s">
        <v>2178</v>
      </c>
      <c r="D44" s="106">
        <v>1080</v>
      </c>
    </row>
    <row r="45" spans="1:4" ht="15" outlineLevel="2">
      <c r="A45" s="87" t="s">
        <v>1241</v>
      </c>
      <c r="B45" s="83" t="s">
        <v>1579</v>
      </c>
      <c r="C45" s="83" t="s">
        <v>1839</v>
      </c>
      <c r="D45" s="106">
        <v>1474.97</v>
      </c>
    </row>
    <row r="46" spans="1:4" ht="15" outlineLevel="2">
      <c r="A46" s="87" t="s">
        <v>184</v>
      </c>
      <c r="B46" s="83" t="s">
        <v>1580</v>
      </c>
      <c r="C46" s="83" t="s">
        <v>1839</v>
      </c>
      <c r="D46" s="106">
        <v>718</v>
      </c>
    </row>
    <row r="47" spans="1:4" ht="15" outlineLevel="2">
      <c r="A47" s="87" t="s">
        <v>36</v>
      </c>
      <c r="B47" s="83" t="s">
        <v>1581</v>
      </c>
      <c r="C47" s="83" t="s">
        <v>319</v>
      </c>
      <c r="D47" s="106">
        <v>544.27</v>
      </c>
    </row>
    <row r="48" spans="1:4" ht="15" outlineLevel="2">
      <c r="A48" s="87" t="s">
        <v>1078</v>
      </c>
      <c r="B48" s="83" t="s">
        <v>1583</v>
      </c>
      <c r="C48" s="83" t="s">
        <v>319</v>
      </c>
      <c r="D48" s="106">
        <v>906.18</v>
      </c>
    </row>
    <row r="49" spans="1:4" ht="15" outlineLevel="2">
      <c r="A49" s="87" t="s">
        <v>524</v>
      </c>
      <c r="B49" s="83" t="s">
        <v>1584</v>
      </c>
      <c r="C49" s="83" t="s">
        <v>1839</v>
      </c>
      <c r="D49" s="106">
        <v>1490.46</v>
      </c>
    </row>
    <row r="50" spans="1:4" ht="15" outlineLevel="2">
      <c r="A50" s="87" t="s">
        <v>524</v>
      </c>
      <c r="B50" s="83" t="s">
        <v>1584</v>
      </c>
      <c r="C50" s="83" t="s">
        <v>2439</v>
      </c>
      <c r="D50" s="106">
        <v>2325.74</v>
      </c>
    </row>
    <row r="51" spans="1:4" ht="15" outlineLevel="2">
      <c r="A51" s="87" t="s">
        <v>2280</v>
      </c>
      <c r="B51" s="83" t="s">
        <v>1587</v>
      </c>
      <c r="C51" s="83" t="s">
        <v>2281</v>
      </c>
      <c r="D51" s="106">
        <v>1946.29</v>
      </c>
    </row>
    <row r="52" spans="1:4" ht="13.5" customHeight="1" outlineLevel="1">
      <c r="A52" s="255" t="s">
        <v>1594</v>
      </c>
      <c r="B52" s="321"/>
      <c r="C52" s="322"/>
      <c r="D52" s="105">
        <f>SUM(D53:D53)</f>
        <v>8578.46</v>
      </c>
    </row>
    <row r="53" spans="1:4" ht="15" outlineLevel="2">
      <c r="A53" s="87" t="s">
        <v>1641</v>
      </c>
      <c r="B53" s="83" t="s">
        <v>1585</v>
      </c>
      <c r="C53" s="83" t="s">
        <v>1642</v>
      </c>
      <c r="D53" s="106">
        <v>8578.46</v>
      </c>
    </row>
    <row r="54" spans="1:4" ht="13.5" customHeight="1" outlineLevel="1">
      <c r="A54" s="256" t="s">
        <v>1599</v>
      </c>
      <c r="B54" s="321"/>
      <c r="C54" s="322"/>
      <c r="D54" s="105">
        <f>SUM(D55:D56)</f>
        <v>4172.13</v>
      </c>
    </row>
    <row r="55" spans="1:4" ht="15" outlineLevel="2">
      <c r="A55" s="83" t="s">
        <v>1260</v>
      </c>
      <c r="B55" s="83" t="s">
        <v>1583</v>
      </c>
      <c r="C55" s="83" t="s">
        <v>950</v>
      </c>
      <c r="D55" s="106">
        <v>2071.13</v>
      </c>
    </row>
    <row r="56" spans="1:4" ht="15" outlineLevel="2">
      <c r="A56" s="83" t="s">
        <v>1425</v>
      </c>
      <c r="B56" s="83" t="s">
        <v>1585</v>
      </c>
      <c r="C56" s="83" t="s">
        <v>1405</v>
      </c>
      <c r="D56" s="106">
        <v>2101</v>
      </c>
    </row>
    <row r="57" spans="1:4" ht="14.25" customHeight="1" outlineLevel="1">
      <c r="A57" s="256" t="s">
        <v>1713</v>
      </c>
      <c r="B57" s="321"/>
      <c r="C57" s="322"/>
      <c r="D57" s="105">
        <f>SUM(D58:D69)</f>
        <v>52767.090000000004</v>
      </c>
    </row>
    <row r="58" spans="1:4" ht="15" outlineLevel="2">
      <c r="A58" s="83"/>
      <c r="B58" s="83" t="s">
        <v>1577</v>
      </c>
      <c r="C58" s="83" t="s">
        <v>1496</v>
      </c>
      <c r="D58" s="106">
        <v>4533.32</v>
      </c>
    </row>
    <row r="59" spans="1:4" ht="15" outlineLevel="2">
      <c r="A59" s="83"/>
      <c r="B59" s="83" t="s">
        <v>1578</v>
      </c>
      <c r="C59" s="83" t="s">
        <v>1496</v>
      </c>
      <c r="D59" s="106">
        <v>4533.32</v>
      </c>
    </row>
    <row r="60" spans="1:4" ht="15" outlineLevel="2">
      <c r="A60" s="83"/>
      <c r="B60" s="83" t="s">
        <v>1579</v>
      </c>
      <c r="C60" s="83" t="s">
        <v>1496</v>
      </c>
      <c r="D60" s="106">
        <v>4533.32</v>
      </c>
    </row>
    <row r="61" spans="1:4" ht="15" outlineLevel="2">
      <c r="A61" s="83"/>
      <c r="B61" s="83" t="s">
        <v>1580</v>
      </c>
      <c r="C61" s="83" t="s">
        <v>1496</v>
      </c>
      <c r="D61" s="106">
        <v>4533.32</v>
      </c>
    </row>
    <row r="62" spans="1:4" ht="15" outlineLevel="2">
      <c r="A62" s="83"/>
      <c r="B62" s="83" t="s">
        <v>1581</v>
      </c>
      <c r="C62" s="83" t="s">
        <v>1496</v>
      </c>
      <c r="D62" s="106">
        <v>4005.08</v>
      </c>
    </row>
    <row r="63" spans="1:4" ht="15" outlineLevel="2">
      <c r="A63" s="83"/>
      <c r="B63" s="83" t="s">
        <v>1582</v>
      </c>
      <c r="C63" s="83" t="s">
        <v>1496</v>
      </c>
      <c r="D63" s="106">
        <v>4005.08</v>
      </c>
    </row>
    <row r="64" spans="1:4" ht="15" outlineLevel="2">
      <c r="A64" s="83"/>
      <c r="B64" s="83" t="s">
        <v>1583</v>
      </c>
      <c r="C64" s="83" t="s">
        <v>1496</v>
      </c>
      <c r="D64" s="106">
        <v>4341.23</v>
      </c>
    </row>
    <row r="65" spans="1:4" ht="15" outlineLevel="2">
      <c r="A65" s="83"/>
      <c r="B65" s="83" t="s">
        <v>1584</v>
      </c>
      <c r="C65" s="83" t="s">
        <v>1496</v>
      </c>
      <c r="D65" s="106">
        <v>4341.23</v>
      </c>
    </row>
    <row r="66" spans="1:4" ht="15" outlineLevel="2">
      <c r="A66" s="83"/>
      <c r="B66" s="83" t="s">
        <v>1585</v>
      </c>
      <c r="C66" s="83" t="s">
        <v>1496</v>
      </c>
      <c r="D66" s="106">
        <v>4341.23</v>
      </c>
    </row>
    <row r="67" spans="1:4" ht="15" outlineLevel="2">
      <c r="A67" s="83"/>
      <c r="B67" s="83" t="s">
        <v>1586</v>
      </c>
      <c r="C67" s="83" t="s">
        <v>1496</v>
      </c>
      <c r="D67" s="106">
        <v>4533.32</v>
      </c>
    </row>
    <row r="68" spans="1:4" ht="15" outlineLevel="2">
      <c r="A68" s="83"/>
      <c r="B68" s="83" t="s">
        <v>1587</v>
      </c>
      <c r="C68" s="83" t="s">
        <v>1496</v>
      </c>
      <c r="D68" s="106">
        <v>4533.32</v>
      </c>
    </row>
    <row r="69" spans="1:4" ht="15" outlineLevel="2">
      <c r="A69" s="89"/>
      <c r="B69" s="83" t="s">
        <v>1588</v>
      </c>
      <c r="C69" s="83" t="s">
        <v>1496</v>
      </c>
      <c r="D69" s="106">
        <v>4533.32</v>
      </c>
    </row>
    <row r="70" spans="1:4" ht="13.5" customHeight="1" outlineLevel="1">
      <c r="A70" s="256" t="s">
        <v>1715</v>
      </c>
      <c r="B70" s="321"/>
      <c r="C70" s="322"/>
      <c r="D70" s="105">
        <f>SUM(D71:D78)</f>
        <v>4202.24</v>
      </c>
    </row>
    <row r="71" spans="1:4" ht="15" outlineLevel="2">
      <c r="A71" s="83" t="s">
        <v>87</v>
      </c>
      <c r="B71" s="83" t="s">
        <v>1578</v>
      </c>
      <c r="C71" s="83" t="s">
        <v>88</v>
      </c>
      <c r="D71" s="106">
        <v>1007</v>
      </c>
    </row>
    <row r="72" spans="1:4" ht="15" outlineLevel="2">
      <c r="A72" s="83" t="s">
        <v>2</v>
      </c>
      <c r="B72" s="83" t="s">
        <v>1578</v>
      </c>
      <c r="C72" s="83" t="s">
        <v>1495</v>
      </c>
      <c r="D72" s="106">
        <v>106.08</v>
      </c>
    </row>
    <row r="73" spans="1:4" ht="15" outlineLevel="2">
      <c r="A73" s="83" t="s">
        <v>1969</v>
      </c>
      <c r="B73" s="83" t="s">
        <v>1579</v>
      </c>
      <c r="C73" s="83" t="s">
        <v>2233</v>
      </c>
      <c r="D73" s="106">
        <v>319.17</v>
      </c>
    </row>
    <row r="74" spans="1:4" ht="15" outlineLevel="2">
      <c r="A74" s="83" t="s">
        <v>139</v>
      </c>
      <c r="B74" s="83" t="s">
        <v>1580</v>
      </c>
      <c r="C74" s="83" t="s">
        <v>2233</v>
      </c>
      <c r="D74" s="106">
        <v>578.08</v>
      </c>
    </row>
    <row r="75" spans="1:4" ht="16.5" customHeight="1" outlineLevel="2">
      <c r="A75" s="83" t="s">
        <v>1033</v>
      </c>
      <c r="B75" s="83" t="s">
        <v>1584</v>
      </c>
      <c r="C75" s="83" t="s">
        <v>762</v>
      </c>
      <c r="D75" s="106">
        <v>621.47</v>
      </c>
    </row>
    <row r="76" spans="1:4" ht="15" outlineLevel="2">
      <c r="A76" s="83" t="s">
        <v>534</v>
      </c>
      <c r="B76" s="83" t="s">
        <v>1586</v>
      </c>
      <c r="C76" s="83" t="s">
        <v>110</v>
      </c>
      <c r="D76" s="106">
        <v>1063.13</v>
      </c>
    </row>
    <row r="77" spans="1:4" ht="15" outlineLevel="2">
      <c r="A77" s="83" t="s">
        <v>796</v>
      </c>
      <c r="B77" s="83" t="s">
        <v>1587</v>
      </c>
      <c r="C77" s="83" t="s">
        <v>207</v>
      </c>
      <c r="D77" s="106">
        <v>139.2</v>
      </c>
    </row>
    <row r="78" spans="1:4" ht="15" outlineLevel="2">
      <c r="A78" s="83" t="s">
        <v>1958</v>
      </c>
      <c r="B78" s="83" t="s">
        <v>1588</v>
      </c>
      <c r="C78" s="83" t="s">
        <v>1960</v>
      </c>
      <c r="D78" s="106">
        <v>368.11</v>
      </c>
    </row>
    <row r="79" spans="1:4" ht="12" customHeight="1" outlineLevel="1">
      <c r="A79" s="256" t="s">
        <v>1716</v>
      </c>
      <c r="B79" s="321"/>
      <c r="C79" s="322"/>
      <c r="D79" s="105">
        <f>SUM(D80:D80)</f>
        <v>710.1</v>
      </c>
    </row>
    <row r="80" spans="1:4" ht="15" outlineLevel="2">
      <c r="A80" s="83" t="s">
        <v>55</v>
      </c>
      <c r="B80" s="83" t="s">
        <v>1584</v>
      </c>
      <c r="C80" s="83" t="s">
        <v>933</v>
      </c>
      <c r="D80" s="106">
        <v>710.1</v>
      </c>
    </row>
    <row r="81" spans="1:4" ht="15.75" customHeight="1" outlineLevel="1">
      <c r="A81" s="256" t="s">
        <v>1595</v>
      </c>
      <c r="B81" s="321"/>
      <c r="C81" s="322"/>
      <c r="D81" s="105">
        <f>SUM(D82:D85)</f>
        <v>1950.1</v>
      </c>
    </row>
    <row r="82" spans="1:4" ht="15" outlineLevel="2">
      <c r="A82" s="83" t="s">
        <v>2008</v>
      </c>
      <c r="B82" s="83" t="s">
        <v>1577</v>
      </c>
      <c r="C82" s="83" t="s">
        <v>2064</v>
      </c>
      <c r="D82" s="106">
        <v>94</v>
      </c>
    </row>
    <row r="83" spans="1:4" ht="15" outlineLevel="2">
      <c r="A83" s="83" t="s">
        <v>323</v>
      </c>
      <c r="B83" s="83" t="s">
        <v>1579</v>
      </c>
      <c r="C83" s="83" t="s">
        <v>324</v>
      </c>
      <c r="D83" s="106">
        <v>100.27</v>
      </c>
    </row>
    <row r="84" spans="1:4" ht="15" outlineLevel="2">
      <c r="A84" s="83" t="s">
        <v>31</v>
      </c>
      <c r="B84" s="83" t="s">
        <v>1584</v>
      </c>
      <c r="C84" s="83" t="s">
        <v>973</v>
      </c>
      <c r="D84" s="106">
        <v>1277.83</v>
      </c>
    </row>
    <row r="85" spans="1:4" ht="15" outlineLevel="2">
      <c r="A85" s="83" t="s">
        <v>2004</v>
      </c>
      <c r="B85" s="83" t="s">
        <v>1588</v>
      </c>
      <c r="C85" s="83" t="s">
        <v>973</v>
      </c>
      <c r="D85" s="106">
        <v>478</v>
      </c>
    </row>
    <row r="86" spans="1:4" ht="15" outlineLevel="1">
      <c r="A86" s="256" t="s">
        <v>1718</v>
      </c>
      <c r="B86" s="321"/>
      <c r="C86" s="322"/>
      <c r="D86" s="105">
        <f>SUM(D87:D93)</f>
        <v>2636.8</v>
      </c>
    </row>
    <row r="87" spans="1:4" ht="15" outlineLevel="2">
      <c r="A87" s="83" t="s">
        <v>2</v>
      </c>
      <c r="B87" s="83" t="s">
        <v>1577</v>
      </c>
      <c r="C87" s="83" t="s">
        <v>193</v>
      </c>
      <c r="D87" s="106">
        <v>33.47</v>
      </c>
    </row>
    <row r="88" spans="1:4" ht="15" outlineLevel="2">
      <c r="A88" s="83" t="s">
        <v>425</v>
      </c>
      <c r="B88" s="107" t="s">
        <v>1579</v>
      </c>
      <c r="C88" s="83" t="s">
        <v>213</v>
      </c>
      <c r="D88" s="106">
        <v>681.67</v>
      </c>
    </row>
    <row r="89" spans="1:4" ht="15" outlineLevel="2">
      <c r="A89" s="83" t="s">
        <v>2</v>
      </c>
      <c r="B89" s="107" t="s">
        <v>1581</v>
      </c>
      <c r="C89" s="83" t="s">
        <v>715</v>
      </c>
      <c r="D89" s="106">
        <v>33.8</v>
      </c>
    </row>
    <row r="90" spans="1:4" ht="15" outlineLevel="2">
      <c r="A90" s="83" t="s">
        <v>2</v>
      </c>
      <c r="B90" s="107" t="s">
        <v>1581</v>
      </c>
      <c r="C90" s="83" t="s">
        <v>2390</v>
      </c>
      <c r="D90" s="106">
        <v>643.24</v>
      </c>
    </row>
    <row r="91" spans="1:4" ht="15" outlineLevel="2">
      <c r="A91" s="83" t="s">
        <v>2</v>
      </c>
      <c r="B91" s="107" t="s">
        <v>57</v>
      </c>
      <c r="C91" s="83" t="s">
        <v>936</v>
      </c>
      <c r="D91" s="106">
        <v>134.4</v>
      </c>
    </row>
    <row r="92" spans="1:4" ht="15" customHeight="1" outlineLevel="2">
      <c r="A92" s="83" t="s">
        <v>1253</v>
      </c>
      <c r="B92" s="107" t="s">
        <v>1582</v>
      </c>
      <c r="C92" s="83" t="s">
        <v>1434</v>
      </c>
      <c r="D92" s="106">
        <v>378.22</v>
      </c>
    </row>
    <row r="93" spans="1:4" ht="30" outlineLevel="2">
      <c r="A93" s="83" t="s">
        <v>856</v>
      </c>
      <c r="B93" s="107" t="s">
        <v>1584</v>
      </c>
      <c r="C93" s="83" t="s">
        <v>857</v>
      </c>
      <c r="D93" s="106">
        <v>732</v>
      </c>
    </row>
    <row r="94" spans="1:4" ht="17.25" customHeight="1">
      <c r="A94" s="256" t="s">
        <v>1714</v>
      </c>
      <c r="B94" s="321"/>
      <c r="C94" s="322"/>
      <c r="D94" s="105">
        <f>1.46*1280.6</f>
        <v>1869.676</v>
      </c>
    </row>
    <row r="95" spans="1:4" ht="15" customHeight="1">
      <c r="A95" s="255" t="s">
        <v>457</v>
      </c>
      <c r="B95" s="256"/>
      <c r="C95" s="257"/>
      <c r="D95" s="105">
        <v>3166.66</v>
      </c>
    </row>
    <row r="96" spans="1:4" ht="13.5" customHeight="1">
      <c r="A96" s="80" t="s">
        <v>0</v>
      </c>
      <c r="B96" s="157"/>
      <c r="C96" s="158"/>
      <c r="D96" s="105">
        <f>0.1*1280.6*12</f>
        <v>1536.72</v>
      </c>
    </row>
    <row r="97" spans="1:4" ht="15" customHeight="1">
      <c r="A97" s="323" t="s">
        <v>255</v>
      </c>
      <c r="B97" s="324"/>
      <c r="C97" s="325"/>
      <c r="D97" s="43">
        <f>0.94*1280.6*12</f>
        <v>14445.167999999998</v>
      </c>
    </row>
    <row r="98" spans="1:4" ht="15">
      <c r="A98" s="323" t="s">
        <v>59</v>
      </c>
      <c r="B98" s="324"/>
      <c r="C98" s="325"/>
      <c r="D98" s="43">
        <f>1.57*1280.6*12</f>
        <v>24126.504</v>
      </c>
    </row>
    <row r="99" spans="1:4" ht="15">
      <c r="A99" s="323" t="s">
        <v>256</v>
      </c>
      <c r="B99" s="324"/>
      <c r="C99" s="325"/>
      <c r="D99" s="43">
        <f>10.3*(D101+D102)/100</f>
        <v>33951.622200000005</v>
      </c>
    </row>
    <row r="100" spans="1:4" ht="15">
      <c r="A100" s="330" t="s">
        <v>659</v>
      </c>
      <c r="B100" s="331"/>
      <c r="C100" s="332"/>
      <c r="D100" s="44">
        <f>D99+D98+D97+D16+D3</f>
        <v>283458.1742</v>
      </c>
    </row>
    <row r="101" spans="1:4" ht="15">
      <c r="A101" s="323" t="s">
        <v>258</v>
      </c>
      <c r="B101" s="324"/>
      <c r="C101" s="325"/>
      <c r="D101" s="43">
        <v>289672.68</v>
      </c>
    </row>
    <row r="102" spans="1:4" ht="15">
      <c r="A102" s="323" t="s">
        <v>259</v>
      </c>
      <c r="B102" s="324"/>
      <c r="C102" s="325"/>
      <c r="D102" s="43">
        <v>39954.72</v>
      </c>
    </row>
    <row r="103" spans="1:4" ht="15">
      <c r="A103" s="323" t="s">
        <v>660</v>
      </c>
      <c r="B103" s="324"/>
      <c r="C103" s="325"/>
      <c r="D103" s="43">
        <v>878056.18</v>
      </c>
    </row>
    <row r="104" spans="1:4" ht="15">
      <c r="A104" s="323" t="s">
        <v>2340</v>
      </c>
      <c r="B104" s="324"/>
      <c r="C104" s="325"/>
      <c r="D104" s="43">
        <v>736892.96</v>
      </c>
    </row>
    <row r="105" spans="1:4" ht="15">
      <c r="A105" s="330" t="s">
        <v>2341</v>
      </c>
      <c r="B105" s="331"/>
      <c r="C105" s="332"/>
      <c r="D105" s="44">
        <f>'[5]Мира 2'!$E$88+D100</f>
        <v>955331.2642</v>
      </c>
    </row>
    <row r="106" spans="1:4" ht="15">
      <c r="A106" s="323" t="s">
        <v>732</v>
      </c>
      <c r="B106" s="324"/>
      <c r="C106" s="325"/>
      <c r="D106" s="43">
        <v>122919.7</v>
      </c>
    </row>
    <row r="107" spans="1:4" ht="15">
      <c r="A107" s="323" t="s">
        <v>733</v>
      </c>
      <c r="B107" s="324"/>
      <c r="C107" s="325"/>
      <c r="D107" s="43">
        <v>103118.2</v>
      </c>
    </row>
    <row r="108" spans="1:4" ht="15">
      <c r="A108" s="330" t="s">
        <v>734</v>
      </c>
      <c r="B108" s="331"/>
      <c r="C108" s="332"/>
      <c r="D108" s="44">
        <f>'[5]Комсомольский 36'!$E$83</f>
        <v>367783</v>
      </c>
    </row>
    <row r="109" spans="1:4" ht="15">
      <c r="A109" s="323" t="s">
        <v>260</v>
      </c>
      <c r="B109" s="324"/>
      <c r="C109" s="325"/>
      <c r="D109" s="43">
        <v>256098.97</v>
      </c>
    </row>
    <row r="110" spans="1:4" ht="15">
      <c r="A110" s="323" t="s">
        <v>735</v>
      </c>
      <c r="B110" s="324"/>
      <c r="C110" s="325"/>
      <c r="D110" s="43">
        <v>35323.88</v>
      </c>
    </row>
    <row r="111" spans="1:4" ht="15">
      <c r="A111" s="330" t="s">
        <v>736</v>
      </c>
      <c r="B111" s="331"/>
      <c r="C111" s="332"/>
      <c r="D111" s="44">
        <v>0</v>
      </c>
    </row>
    <row r="112" spans="1:4" ht="18" customHeight="1">
      <c r="A112" s="327" t="s">
        <v>2271</v>
      </c>
      <c r="B112" s="328"/>
      <c r="C112" s="329"/>
      <c r="D112" s="45">
        <f>D103-D105</f>
        <v>-77275.08419999992</v>
      </c>
    </row>
    <row r="113" spans="1:4" ht="17.25" customHeight="1">
      <c r="A113" s="327" t="s">
        <v>738</v>
      </c>
      <c r="B113" s="328"/>
      <c r="C113" s="329"/>
      <c r="D113" s="45">
        <f>D106-D108</f>
        <v>-244863.3</v>
      </c>
    </row>
    <row r="114" spans="1:4" ht="29.25" customHeight="1">
      <c r="A114" s="327" t="s">
        <v>2273</v>
      </c>
      <c r="B114" s="328"/>
      <c r="C114" s="329"/>
      <c r="D114" s="45">
        <f>D104-D105</f>
        <v>-218438.3042</v>
      </c>
    </row>
    <row r="115" ht="12.75">
      <c r="D115" s="39"/>
    </row>
    <row r="116" ht="12.75">
      <c r="D116" s="39"/>
    </row>
    <row r="117" ht="12.75">
      <c r="D117" s="39"/>
    </row>
    <row r="118" ht="12.75">
      <c r="D118" s="39"/>
    </row>
    <row r="119" ht="12.75">
      <c r="D119" s="39"/>
    </row>
  </sheetData>
  <sheetProtection/>
  <mergeCells count="39">
    <mergeCell ref="A79:C79"/>
    <mergeCell ref="A16:C16"/>
    <mergeCell ref="A1:D1"/>
    <mergeCell ref="A95:C95"/>
    <mergeCell ref="A17:C17"/>
    <mergeCell ref="A26:C26"/>
    <mergeCell ref="A28:C28"/>
    <mergeCell ref="A8:C8"/>
    <mergeCell ref="A11:C11"/>
    <mergeCell ref="A52:C52"/>
    <mergeCell ref="A54:C54"/>
    <mergeCell ref="A57:C57"/>
    <mergeCell ref="A70:C70"/>
    <mergeCell ref="A113:C113"/>
    <mergeCell ref="A100:C100"/>
    <mergeCell ref="A101:C101"/>
    <mergeCell ref="A105:C105"/>
    <mergeCell ref="A99:C99"/>
    <mergeCell ref="A102:C102"/>
    <mergeCell ref="A104:C104"/>
    <mergeCell ref="A94:C94"/>
    <mergeCell ref="A114:C114"/>
    <mergeCell ref="A106:C106"/>
    <mergeCell ref="A107:C107"/>
    <mergeCell ref="A108:C108"/>
    <mergeCell ref="A109:C109"/>
    <mergeCell ref="A112:C112"/>
    <mergeCell ref="A111:C111"/>
    <mergeCell ref="A110:C110"/>
    <mergeCell ref="A41:C41"/>
    <mergeCell ref="A103:C103"/>
    <mergeCell ref="A98:C98"/>
    <mergeCell ref="A3:C3"/>
    <mergeCell ref="A4:C4"/>
    <mergeCell ref="A6:C6"/>
    <mergeCell ref="A81:C81"/>
    <mergeCell ref="A86:C86"/>
    <mergeCell ref="A97:C97"/>
    <mergeCell ref="A14:C14"/>
  </mergeCells>
  <printOptions/>
  <pageMargins left="0.31496062992125984" right="0.31496062992125984" top="0.2362204724409449" bottom="0.2755905511811024" header="0.15748031496062992" footer="0.196850393700787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5"/>
  <sheetViews>
    <sheetView zoomScalePageLayoutView="0" workbookViewId="0" topLeftCell="A1">
      <selection activeCell="E100" sqref="A1:E100"/>
    </sheetView>
  </sheetViews>
  <sheetFormatPr defaultColWidth="13.421875" defaultRowHeight="12.75" outlineLevelRow="2"/>
  <cols>
    <col min="1" max="1" width="3.00390625" style="1" customWidth="1"/>
    <col min="2" max="2" width="17.421875" style="1" customWidth="1"/>
    <col min="3" max="3" width="11.7109375" style="1" customWidth="1"/>
    <col min="4" max="4" width="78.421875" style="1" customWidth="1"/>
    <col min="5" max="5" width="14.0039062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>
      <c r="A1" s="336" t="s">
        <v>458</v>
      </c>
      <c r="B1" s="337"/>
      <c r="C1" s="337"/>
      <c r="D1" s="338"/>
      <c r="E1" s="162"/>
    </row>
    <row r="2" spans="1:5" ht="15.75" thickBot="1">
      <c r="A2" s="187"/>
      <c r="B2" s="188"/>
      <c r="C2" s="188"/>
      <c r="D2" s="188"/>
      <c r="E2" s="189"/>
    </row>
    <row r="3" spans="1:6" ht="27.75" customHeight="1">
      <c r="A3" s="182"/>
      <c r="B3" s="183" t="s">
        <v>1570</v>
      </c>
      <c r="C3" s="184" t="s">
        <v>2145</v>
      </c>
      <c r="D3" s="185" t="s">
        <v>1572</v>
      </c>
      <c r="E3" s="186" t="s">
        <v>1573</v>
      </c>
      <c r="F3" s="6"/>
    </row>
    <row r="4" spans="1:5" ht="15" customHeight="1">
      <c r="A4" s="91"/>
      <c r="B4" s="308"/>
      <c r="C4" s="308"/>
      <c r="D4" s="155" t="s">
        <v>1575</v>
      </c>
      <c r="E4" s="130">
        <f>E5+E7+E9</f>
        <v>44903.03999999999</v>
      </c>
    </row>
    <row r="5" spans="1:5" ht="15" customHeight="1" outlineLevel="1">
      <c r="A5" s="255" t="s">
        <v>1589</v>
      </c>
      <c r="B5" s="256"/>
      <c r="C5" s="256"/>
      <c r="D5" s="257"/>
      <c r="E5" s="105">
        <f>SUM(E6:E6)</f>
        <v>38770.38</v>
      </c>
    </row>
    <row r="6" spans="1:6" ht="15" customHeight="1" outlineLevel="2">
      <c r="A6" s="81"/>
      <c r="B6" s="84" t="s">
        <v>1100</v>
      </c>
      <c r="C6" s="84" t="s">
        <v>1582</v>
      </c>
      <c r="D6" s="84" t="s">
        <v>1101</v>
      </c>
      <c r="E6" s="106">
        <v>38770.38</v>
      </c>
      <c r="F6" s="14"/>
    </row>
    <row r="7" spans="1:5" ht="15" customHeight="1" outlineLevel="1">
      <c r="A7" s="255" t="s">
        <v>1595</v>
      </c>
      <c r="B7" s="256"/>
      <c r="C7" s="256"/>
      <c r="D7" s="257"/>
      <c r="E7" s="105">
        <f>SUM(E8:E8)</f>
        <v>1200</v>
      </c>
    </row>
    <row r="8" spans="1:6" ht="15" customHeight="1" outlineLevel="2">
      <c r="A8" s="81"/>
      <c r="B8" s="312" t="s">
        <v>282</v>
      </c>
      <c r="C8" s="313"/>
      <c r="D8" s="314"/>
      <c r="E8" s="106">
        <v>1200</v>
      </c>
      <c r="F8" s="14"/>
    </row>
    <row r="9" spans="1:5" ht="15" customHeight="1" outlineLevel="1">
      <c r="A9" s="255" t="s">
        <v>1599</v>
      </c>
      <c r="B9" s="256"/>
      <c r="C9" s="256"/>
      <c r="D9" s="257"/>
      <c r="E9" s="105">
        <f>SUM(E10:E11)</f>
        <v>4932.66</v>
      </c>
    </row>
    <row r="10" spans="1:6" ht="15" customHeight="1" outlineLevel="2">
      <c r="A10" s="42"/>
      <c r="B10" s="83" t="s">
        <v>1469</v>
      </c>
      <c r="C10" s="83" t="s">
        <v>1578</v>
      </c>
      <c r="D10" s="83" t="s">
        <v>1</v>
      </c>
      <c r="E10" s="106">
        <v>781.9</v>
      </c>
      <c r="F10" s="14"/>
    </row>
    <row r="11" spans="1:6" ht="15" customHeight="1" outlineLevel="2">
      <c r="A11" s="42"/>
      <c r="B11" s="83" t="s">
        <v>105</v>
      </c>
      <c r="C11" s="83" t="s">
        <v>1583</v>
      </c>
      <c r="D11" s="83" t="s">
        <v>1374</v>
      </c>
      <c r="E11" s="106">
        <v>4150.76</v>
      </c>
      <c r="F11" s="14"/>
    </row>
    <row r="12" spans="1:5" ht="15" customHeight="1">
      <c r="A12" s="115"/>
      <c r="B12" s="309"/>
      <c r="C12" s="309"/>
      <c r="D12" s="142" t="s">
        <v>1600</v>
      </c>
      <c r="E12" s="130">
        <f>E13+E21+E26+E32+E36+E38+E41+E54+E55+E67+E69+E73+E81+E82</f>
        <v>170129.22199999995</v>
      </c>
    </row>
    <row r="13" spans="1:5" ht="15" customHeight="1" outlineLevel="1">
      <c r="A13" s="255" t="s">
        <v>1576</v>
      </c>
      <c r="B13" s="256"/>
      <c r="C13" s="256"/>
      <c r="D13" s="257"/>
      <c r="E13" s="105">
        <f>SUM(E14:E20)</f>
        <v>8662.37</v>
      </c>
    </row>
    <row r="14" spans="1:6" ht="15" customHeight="1" outlineLevel="2">
      <c r="A14" s="42"/>
      <c r="B14" s="83" t="s">
        <v>2</v>
      </c>
      <c r="C14" s="83" t="s">
        <v>1580</v>
      </c>
      <c r="D14" s="83" t="s">
        <v>2277</v>
      </c>
      <c r="E14" s="106">
        <v>21.69</v>
      </c>
      <c r="F14" s="14"/>
    </row>
    <row r="15" spans="1:6" ht="15" customHeight="1" outlineLevel="2">
      <c r="A15" s="42"/>
      <c r="B15" s="83" t="s">
        <v>182</v>
      </c>
      <c r="C15" s="83" t="s">
        <v>1580</v>
      </c>
      <c r="D15" s="83" t="s">
        <v>1415</v>
      </c>
      <c r="E15" s="106">
        <v>1626.92</v>
      </c>
      <c r="F15" s="14"/>
    </row>
    <row r="16" spans="1:6" ht="15" customHeight="1" outlineLevel="2">
      <c r="A16" s="42"/>
      <c r="B16" s="83" t="s">
        <v>1708</v>
      </c>
      <c r="C16" s="83" t="s">
        <v>1581</v>
      </c>
      <c r="D16" s="83" t="s">
        <v>2098</v>
      </c>
      <c r="E16" s="106">
        <v>2791.13</v>
      </c>
      <c r="F16" s="14"/>
    </row>
    <row r="17" spans="1:6" ht="30" customHeight="1" outlineLevel="2">
      <c r="A17" s="42"/>
      <c r="B17" s="83" t="s">
        <v>508</v>
      </c>
      <c r="C17" s="83" t="s">
        <v>1582</v>
      </c>
      <c r="D17" s="83" t="s">
        <v>509</v>
      </c>
      <c r="E17" s="106">
        <v>144.56</v>
      </c>
      <c r="F17" s="14"/>
    </row>
    <row r="18" spans="1:6" ht="15" outlineLevel="2">
      <c r="A18" s="42"/>
      <c r="B18" s="83" t="s">
        <v>1695</v>
      </c>
      <c r="C18" s="83" t="s">
        <v>1583</v>
      </c>
      <c r="D18" s="83" t="s">
        <v>1148</v>
      </c>
      <c r="E18" s="106">
        <v>2921</v>
      </c>
      <c r="F18" s="14"/>
    </row>
    <row r="19" spans="1:6" ht="61.5" customHeight="1" outlineLevel="2">
      <c r="A19" s="42"/>
      <c r="B19" s="83" t="s">
        <v>714</v>
      </c>
      <c r="C19" s="83" t="s">
        <v>1583</v>
      </c>
      <c r="D19" s="83" t="s">
        <v>509</v>
      </c>
      <c r="E19" s="106">
        <v>1076.92</v>
      </c>
      <c r="F19" s="14"/>
    </row>
    <row r="20" spans="1:6" ht="15" outlineLevel="2">
      <c r="A20" s="42"/>
      <c r="B20" s="83" t="s">
        <v>2</v>
      </c>
      <c r="C20" s="83" t="s">
        <v>1583</v>
      </c>
      <c r="D20" s="83" t="s">
        <v>855</v>
      </c>
      <c r="E20" s="106">
        <v>80.15</v>
      </c>
      <c r="F20" s="14"/>
    </row>
    <row r="21" spans="1:5" ht="15" customHeight="1" outlineLevel="1">
      <c r="A21" s="255" t="s">
        <v>1589</v>
      </c>
      <c r="B21" s="256"/>
      <c r="C21" s="256"/>
      <c r="D21" s="257"/>
      <c r="E21" s="105">
        <f>SUM(E22:E25)</f>
        <v>44350.5</v>
      </c>
    </row>
    <row r="22" spans="1:6" ht="15" customHeight="1" outlineLevel="2">
      <c r="A22" s="42"/>
      <c r="B22" s="83" t="s">
        <v>876</v>
      </c>
      <c r="C22" s="83" t="s">
        <v>1578</v>
      </c>
      <c r="D22" s="83" t="s">
        <v>382</v>
      </c>
      <c r="E22" s="106">
        <v>55.53</v>
      </c>
      <c r="F22" s="14"/>
    </row>
    <row r="23" spans="1:6" ht="15" customHeight="1" outlineLevel="2">
      <c r="A23" s="42"/>
      <c r="B23" s="83" t="s">
        <v>14</v>
      </c>
      <c r="C23" s="83" t="s">
        <v>1579</v>
      </c>
      <c r="D23" s="83" t="s">
        <v>2174</v>
      </c>
      <c r="E23" s="106">
        <v>2293</v>
      </c>
      <c r="F23" s="14"/>
    </row>
    <row r="24" spans="1:6" ht="15" customHeight="1" outlineLevel="2">
      <c r="A24" s="42"/>
      <c r="B24" s="83" t="s">
        <v>1100</v>
      </c>
      <c r="C24" s="83" t="s">
        <v>1582</v>
      </c>
      <c r="D24" s="83" t="s">
        <v>814</v>
      </c>
      <c r="E24" s="106">
        <v>41558.56</v>
      </c>
      <c r="F24" s="14"/>
    </row>
    <row r="25" spans="1:6" ht="15" customHeight="1" outlineLevel="2">
      <c r="A25" s="42"/>
      <c r="B25" s="83" t="s">
        <v>1391</v>
      </c>
      <c r="C25" s="83" t="s">
        <v>1585</v>
      </c>
      <c r="D25" s="83" t="s">
        <v>1536</v>
      </c>
      <c r="E25" s="106">
        <v>443.41</v>
      </c>
      <c r="F25" s="14"/>
    </row>
    <row r="26" spans="1:5" ht="15" customHeight="1" outlineLevel="1">
      <c r="A26" s="255" t="s">
        <v>1590</v>
      </c>
      <c r="B26" s="256"/>
      <c r="C26" s="256"/>
      <c r="D26" s="257"/>
      <c r="E26" s="105">
        <f>SUM(E27:E31)</f>
        <v>9359.78</v>
      </c>
    </row>
    <row r="27" spans="1:6" ht="15" customHeight="1" outlineLevel="2">
      <c r="A27" s="42"/>
      <c r="B27" s="88" t="s">
        <v>2</v>
      </c>
      <c r="C27" s="82" t="s">
        <v>1577</v>
      </c>
      <c r="D27" s="82" t="s">
        <v>1724</v>
      </c>
      <c r="E27" s="106">
        <v>100.31</v>
      </c>
      <c r="F27" s="14"/>
    </row>
    <row r="28" spans="1:6" ht="15" customHeight="1" outlineLevel="2">
      <c r="A28" s="42"/>
      <c r="B28" s="87" t="s">
        <v>33</v>
      </c>
      <c r="C28" s="83" t="s">
        <v>1580</v>
      </c>
      <c r="D28" s="83" t="s">
        <v>703</v>
      </c>
      <c r="E28" s="106">
        <v>1995.6</v>
      </c>
      <c r="F28" s="14"/>
    </row>
    <row r="29" spans="1:6" ht="15" customHeight="1" outlineLevel="2">
      <c r="A29" s="42"/>
      <c r="B29" s="87" t="s">
        <v>2</v>
      </c>
      <c r="C29" s="83" t="s">
        <v>1581</v>
      </c>
      <c r="D29" s="83" t="s">
        <v>940</v>
      </c>
      <c r="E29" s="106">
        <v>165.51</v>
      </c>
      <c r="F29" s="14"/>
    </row>
    <row r="30" spans="1:6" ht="30.75" customHeight="1" outlineLevel="2">
      <c r="A30" s="42"/>
      <c r="B30" s="87" t="s">
        <v>929</v>
      </c>
      <c r="C30" s="83" t="s">
        <v>1584</v>
      </c>
      <c r="D30" s="83" t="s">
        <v>760</v>
      </c>
      <c r="E30" s="106">
        <v>5627.71</v>
      </c>
      <c r="F30" s="14"/>
    </row>
    <row r="31" spans="1:6" ht="15" customHeight="1" outlineLevel="2">
      <c r="A31" s="42"/>
      <c r="B31" s="87" t="s">
        <v>190</v>
      </c>
      <c r="C31" s="83" t="s">
        <v>1586</v>
      </c>
      <c r="D31" s="83" t="s">
        <v>783</v>
      </c>
      <c r="E31" s="106">
        <v>1470.65</v>
      </c>
      <c r="F31" s="14"/>
    </row>
    <row r="32" spans="1:5" ht="15" customHeight="1" outlineLevel="1">
      <c r="A32" s="255" t="s">
        <v>1591</v>
      </c>
      <c r="B32" s="256"/>
      <c r="C32" s="256"/>
      <c r="D32" s="257"/>
      <c r="E32" s="105">
        <f>SUM(E33:E35)</f>
        <v>3121.75</v>
      </c>
    </row>
    <row r="33" spans="1:6" ht="15" customHeight="1" outlineLevel="2">
      <c r="A33" s="42"/>
      <c r="B33" s="87" t="s">
        <v>184</v>
      </c>
      <c r="C33" s="83" t="s">
        <v>1580</v>
      </c>
      <c r="D33" s="83" t="s">
        <v>406</v>
      </c>
      <c r="E33" s="106">
        <v>1676.85</v>
      </c>
      <c r="F33" s="14"/>
    </row>
    <row r="34" spans="1:6" ht="15" customHeight="1" outlineLevel="2">
      <c r="A34" s="42"/>
      <c r="B34" s="87" t="s">
        <v>433</v>
      </c>
      <c r="C34" s="83" t="s">
        <v>1581</v>
      </c>
      <c r="D34" s="83" t="s">
        <v>2104</v>
      </c>
      <c r="E34" s="106">
        <v>718.7</v>
      </c>
      <c r="F34" s="14"/>
    </row>
    <row r="35" spans="1:6" ht="15" customHeight="1" outlineLevel="2">
      <c r="A35" s="42"/>
      <c r="B35" s="87" t="s">
        <v>1515</v>
      </c>
      <c r="C35" s="83" t="s">
        <v>1582</v>
      </c>
      <c r="D35" s="83" t="s">
        <v>793</v>
      </c>
      <c r="E35" s="106">
        <v>726.2</v>
      </c>
      <c r="F35" s="14"/>
    </row>
    <row r="36" spans="1:5" ht="15" customHeight="1" outlineLevel="1">
      <c r="A36" s="255" t="s">
        <v>1594</v>
      </c>
      <c r="B36" s="256"/>
      <c r="C36" s="256"/>
      <c r="D36" s="257"/>
      <c r="E36" s="105">
        <f>SUM(E37:E37)</f>
        <v>8578.46</v>
      </c>
    </row>
    <row r="37" spans="1:6" ht="15" customHeight="1" outlineLevel="2">
      <c r="A37" s="42"/>
      <c r="B37" s="87" t="s">
        <v>1641</v>
      </c>
      <c r="C37" s="83" t="s">
        <v>1585</v>
      </c>
      <c r="D37" s="83" t="s">
        <v>1642</v>
      </c>
      <c r="E37" s="106">
        <v>8578.46</v>
      </c>
      <c r="F37" s="14"/>
    </row>
    <row r="38" spans="1:5" ht="15" customHeight="1" outlineLevel="1">
      <c r="A38" s="255" t="s">
        <v>1599</v>
      </c>
      <c r="B38" s="256"/>
      <c r="C38" s="256"/>
      <c r="D38" s="257"/>
      <c r="E38" s="105">
        <f>SUM(E39:E40)</f>
        <v>2058.59</v>
      </c>
    </row>
    <row r="39" spans="1:6" ht="15" customHeight="1" outlineLevel="2">
      <c r="A39" s="42"/>
      <c r="B39" s="83" t="s">
        <v>454</v>
      </c>
      <c r="C39" s="83" t="s">
        <v>1581</v>
      </c>
      <c r="D39" s="83" t="s">
        <v>1405</v>
      </c>
      <c r="E39" s="106">
        <v>1875.59</v>
      </c>
      <c r="F39" s="14"/>
    </row>
    <row r="40" spans="1:6" ht="15" customHeight="1" outlineLevel="2">
      <c r="A40" s="42"/>
      <c r="B40" s="83" t="s">
        <v>400</v>
      </c>
      <c r="C40" s="83" t="s">
        <v>1586</v>
      </c>
      <c r="D40" s="83" t="s">
        <v>2498</v>
      </c>
      <c r="E40" s="106">
        <v>183</v>
      </c>
      <c r="F40" s="14"/>
    </row>
    <row r="41" spans="1:5" ht="15" customHeight="1" outlineLevel="1" collapsed="1">
      <c r="A41" s="255" t="s">
        <v>1713</v>
      </c>
      <c r="B41" s="256"/>
      <c r="C41" s="256"/>
      <c r="D41" s="257"/>
      <c r="E41" s="105">
        <f>SUM(E42:E53)</f>
        <v>53269.109999999986</v>
      </c>
    </row>
    <row r="42" spans="1:6" ht="15" customHeight="1" hidden="1" outlineLevel="2">
      <c r="A42" s="42"/>
      <c r="B42" s="82"/>
      <c r="C42" s="82" t="s">
        <v>1577</v>
      </c>
      <c r="D42" s="82" t="s">
        <v>1496</v>
      </c>
      <c r="E42" s="106">
        <v>4547.48</v>
      </c>
      <c r="F42" s="14"/>
    </row>
    <row r="43" spans="1:6" ht="15" customHeight="1" hidden="1" outlineLevel="2">
      <c r="A43" s="42"/>
      <c r="B43" s="83"/>
      <c r="C43" s="83" t="s">
        <v>1578</v>
      </c>
      <c r="D43" s="83" t="s">
        <v>1496</v>
      </c>
      <c r="E43" s="106">
        <v>4547.48</v>
      </c>
      <c r="F43" s="14"/>
    </row>
    <row r="44" spans="1:6" ht="15" customHeight="1" hidden="1" outlineLevel="2">
      <c r="A44" s="42"/>
      <c r="B44" s="83"/>
      <c r="C44" s="83" t="s">
        <v>1579</v>
      </c>
      <c r="D44" s="83" t="s">
        <v>1496</v>
      </c>
      <c r="E44" s="106">
        <v>4547.48</v>
      </c>
      <c r="F44" s="14"/>
    </row>
    <row r="45" spans="1:6" ht="15" customHeight="1" hidden="1" outlineLevel="2">
      <c r="A45" s="42"/>
      <c r="B45" s="83"/>
      <c r="C45" s="83" t="s">
        <v>1580</v>
      </c>
      <c r="D45" s="83" t="s">
        <v>1496</v>
      </c>
      <c r="E45" s="106">
        <v>4547.48</v>
      </c>
      <c r="F45" s="14"/>
    </row>
    <row r="46" spans="1:6" ht="15" customHeight="1" hidden="1" outlineLevel="2">
      <c r="A46" s="42"/>
      <c r="B46" s="83"/>
      <c r="C46" s="83" t="s">
        <v>1581</v>
      </c>
      <c r="D46" s="83" t="s">
        <v>1496</v>
      </c>
      <c r="E46" s="106">
        <v>4017.59</v>
      </c>
      <c r="F46" s="14"/>
    </row>
    <row r="47" spans="1:6" ht="15" customHeight="1" hidden="1" outlineLevel="2">
      <c r="A47" s="42"/>
      <c r="B47" s="83"/>
      <c r="C47" s="83" t="s">
        <v>1582</v>
      </c>
      <c r="D47" s="83" t="s">
        <v>1496</v>
      </c>
      <c r="E47" s="106">
        <v>4354.79</v>
      </c>
      <c r="F47" s="14"/>
    </row>
    <row r="48" spans="1:6" ht="15" customHeight="1" hidden="1" outlineLevel="2">
      <c r="A48" s="42"/>
      <c r="B48" s="83"/>
      <c r="C48" s="83" t="s">
        <v>1583</v>
      </c>
      <c r="D48" s="83" t="s">
        <v>1496</v>
      </c>
      <c r="E48" s="106">
        <v>4354.79</v>
      </c>
      <c r="F48" s="14"/>
    </row>
    <row r="49" spans="1:6" ht="15" customHeight="1" hidden="1" outlineLevel="2">
      <c r="A49" s="42"/>
      <c r="B49" s="83"/>
      <c r="C49" s="83" t="s">
        <v>1584</v>
      </c>
      <c r="D49" s="83" t="s">
        <v>1496</v>
      </c>
      <c r="E49" s="106">
        <v>4354.79</v>
      </c>
      <c r="F49" s="14"/>
    </row>
    <row r="50" spans="1:6" ht="15" customHeight="1" hidden="1" outlineLevel="2">
      <c r="A50" s="42"/>
      <c r="B50" s="83"/>
      <c r="C50" s="83" t="s">
        <v>1585</v>
      </c>
      <c r="D50" s="83" t="s">
        <v>1496</v>
      </c>
      <c r="E50" s="106">
        <v>4354.79</v>
      </c>
      <c r="F50" s="14"/>
    </row>
    <row r="51" spans="1:6" ht="15" customHeight="1" hidden="1" outlineLevel="2">
      <c r="A51" s="42"/>
      <c r="B51" s="83"/>
      <c r="C51" s="83" t="s">
        <v>1586</v>
      </c>
      <c r="D51" s="83" t="s">
        <v>1496</v>
      </c>
      <c r="E51" s="106">
        <v>4547.48</v>
      </c>
      <c r="F51" s="14"/>
    </row>
    <row r="52" spans="1:6" ht="15" customHeight="1" hidden="1" outlineLevel="2">
      <c r="A52" s="42"/>
      <c r="B52" s="83"/>
      <c r="C52" s="83" t="s">
        <v>1587</v>
      </c>
      <c r="D52" s="83" t="s">
        <v>1496</v>
      </c>
      <c r="E52" s="106">
        <v>4547.48</v>
      </c>
      <c r="F52" s="14"/>
    </row>
    <row r="53" spans="1:6" ht="15" customHeight="1" hidden="1" outlineLevel="2">
      <c r="A53" s="42"/>
      <c r="B53" s="89"/>
      <c r="C53" s="83" t="s">
        <v>1588</v>
      </c>
      <c r="D53" s="83" t="s">
        <v>1496</v>
      </c>
      <c r="E53" s="106">
        <v>4547.48</v>
      </c>
      <c r="F53" s="14"/>
    </row>
    <row r="54" spans="1:5" ht="15" customHeight="1" outlineLevel="1">
      <c r="A54" s="255" t="s">
        <v>1714</v>
      </c>
      <c r="B54" s="256"/>
      <c r="C54" s="256"/>
      <c r="D54" s="257"/>
      <c r="E54" s="105">
        <f>1.46*1284.6*12</f>
        <v>22506.192</v>
      </c>
    </row>
    <row r="55" spans="1:5" ht="15" customHeight="1" outlineLevel="1">
      <c r="A55" s="255" t="s">
        <v>1715</v>
      </c>
      <c r="B55" s="256"/>
      <c r="C55" s="256"/>
      <c r="D55" s="257"/>
      <c r="E55" s="105">
        <f>SUM(E56:E66)</f>
        <v>7034.93</v>
      </c>
    </row>
    <row r="56" spans="1:6" ht="15" customHeight="1" outlineLevel="2">
      <c r="A56" s="42"/>
      <c r="B56" s="83" t="s">
        <v>87</v>
      </c>
      <c r="C56" s="83" t="s">
        <v>1578</v>
      </c>
      <c r="D56" s="83" t="s">
        <v>88</v>
      </c>
      <c r="E56" s="106">
        <v>1007</v>
      </c>
      <c r="F56" s="14"/>
    </row>
    <row r="57" spans="1:6" ht="15" customHeight="1" outlineLevel="2">
      <c r="A57" s="42"/>
      <c r="B57" s="83" t="s">
        <v>2</v>
      </c>
      <c r="C57" s="83" t="s">
        <v>1578</v>
      </c>
      <c r="D57" s="83" t="s">
        <v>1495</v>
      </c>
      <c r="E57" s="106">
        <v>106.08</v>
      </c>
      <c r="F57" s="14"/>
    </row>
    <row r="58" spans="1:6" ht="15" customHeight="1" outlineLevel="2">
      <c r="A58" s="42"/>
      <c r="B58" s="83" t="s">
        <v>2234</v>
      </c>
      <c r="C58" s="83" t="s">
        <v>1579</v>
      </c>
      <c r="D58" s="83" t="s">
        <v>2233</v>
      </c>
      <c r="E58" s="106">
        <v>319.17</v>
      </c>
      <c r="F58" s="14"/>
    </row>
    <row r="59" spans="1:6" ht="15" customHeight="1" outlineLevel="2">
      <c r="A59" s="42"/>
      <c r="B59" s="83" t="s">
        <v>139</v>
      </c>
      <c r="C59" s="83" t="s">
        <v>1580</v>
      </c>
      <c r="D59" s="83" t="s">
        <v>2233</v>
      </c>
      <c r="E59" s="106">
        <v>578.08</v>
      </c>
      <c r="F59" s="14"/>
    </row>
    <row r="60" spans="1:6" ht="15" customHeight="1" outlineLevel="2">
      <c r="A60" s="42"/>
      <c r="B60" s="83" t="s">
        <v>1313</v>
      </c>
      <c r="C60" s="83" t="s">
        <v>1583</v>
      </c>
      <c r="D60" s="83" t="s">
        <v>110</v>
      </c>
      <c r="E60" s="106">
        <v>949.51</v>
      </c>
      <c r="F60" s="14"/>
    </row>
    <row r="61" spans="1:6" ht="15" customHeight="1" outlineLevel="2">
      <c r="A61" s="42"/>
      <c r="B61" s="83" t="s">
        <v>1313</v>
      </c>
      <c r="C61" s="83" t="s">
        <v>1583</v>
      </c>
      <c r="D61" s="83" t="s">
        <v>110</v>
      </c>
      <c r="E61" s="106">
        <v>1833.58</v>
      </c>
      <c r="F61" s="14"/>
    </row>
    <row r="62" spans="1:6" ht="75.75" customHeight="1" outlineLevel="2">
      <c r="A62" s="42"/>
      <c r="B62" s="83" t="s">
        <v>1271</v>
      </c>
      <c r="C62" s="83" t="s">
        <v>1584</v>
      </c>
      <c r="D62" s="83" t="s">
        <v>762</v>
      </c>
      <c r="E62" s="106">
        <v>621.47</v>
      </c>
      <c r="F62" s="14"/>
    </row>
    <row r="63" spans="1:6" ht="15" customHeight="1" outlineLevel="2">
      <c r="A63" s="42"/>
      <c r="B63" s="83" t="s">
        <v>533</v>
      </c>
      <c r="C63" s="83" t="s">
        <v>1586</v>
      </c>
      <c r="D63" s="83" t="s">
        <v>110</v>
      </c>
      <c r="E63" s="106">
        <v>1063.13</v>
      </c>
      <c r="F63" s="14"/>
    </row>
    <row r="64" spans="1:6" ht="15" customHeight="1" outlineLevel="2">
      <c r="A64" s="42"/>
      <c r="B64" s="83" t="s">
        <v>206</v>
      </c>
      <c r="C64" s="83" t="s">
        <v>1587</v>
      </c>
      <c r="D64" s="83" t="s">
        <v>207</v>
      </c>
      <c r="E64" s="106">
        <v>139.2</v>
      </c>
      <c r="F64" s="14"/>
    </row>
    <row r="65" spans="1:6" ht="15" customHeight="1" outlineLevel="2">
      <c r="A65" s="42"/>
      <c r="B65" s="83" t="s">
        <v>1286</v>
      </c>
      <c r="C65" s="83" t="s">
        <v>1287</v>
      </c>
      <c r="D65" s="83" t="s">
        <v>1288</v>
      </c>
      <c r="E65" s="106">
        <v>49.6</v>
      </c>
      <c r="F65" s="14"/>
    </row>
    <row r="66" spans="1:6" ht="15" customHeight="1" outlineLevel="2">
      <c r="A66" s="42"/>
      <c r="B66" s="83" t="s">
        <v>1958</v>
      </c>
      <c r="C66" s="83" t="s">
        <v>1588</v>
      </c>
      <c r="D66" s="83" t="s">
        <v>1960</v>
      </c>
      <c r="E66" s="106">
        <v>368.11</v>
      </c>
      <c r="F66" s="14"/>
    </row>
    <row r="67" spans="1:5" ht="15" customHeight="1" outlineLevel="1">
      <c r="A67" s="255" t="s">
        <v>1716</v>
      </c>
      <c r="B67" s="256"/>
      <c r="C67" s="256"/>
      <c r="D67" s="257"/>
      <c r="E67" s="105">
        <f>SUM(E68:E68)</f>
        <v>308.8</v>
      </c>
    </row>
    <row r="68" spans="1:6" ht="15" customHeight="1" outlineLevel="2">
      <c r="A68" s="42"/>
      <c r="B68" s="83" t="s">
        <v>55</v>
      </c>
      <c r="C68" s="83" t="s">
        <v>1584</v>
      </c>
      <c r="D68" s="83" t="s">
        <v>933</v>
      </c>
      <c r="E68" s="106">
        <v>308.8</v>
      </c>
      <c r="F68" s="14"/>
    </row>
    <row r="69" spans="1:5" ht="15" customHeight="1" outlineLevel="1">
      <c r="A69" s="255" t="s">
        <v>1595</v>
      </c>
      <c r="B69" s="256"/>
      <c r="C69" s="256"/>
      <c r="D69" s="257"/>
      <c r="E69" s="105">
        <f>SUM(E70:E72)</f>
        <v>1125.27</v>
      </c>
    </row>
    <row r="70" spans="1:6" ht="15" customHeight="1" outlineLevel="2">
      <c r="A70" s="42"/>
      <c r="B70" s="82" t="s">
        <v>64</v>
      </c>
      <c r="C70" s="82" t="s">
        <v>1577</v>
      </c>
      <c r="D70" s="82" t="s">
        <v>376</v>
      </c>
      <c r="E70" s="106">
        <v>115.8</v>
      </c>
      <c r="F70" s="14"/>
    </row>
    <row r="71" spans="1:6" ht="15" customHeight="1" outlineLevel="2">
      <c r="A71" s="42"/>
      <c r="B71" s="83" t="s">
        <v>891</v>
      </c>
      <c r="C71" s="83" t="s">
        <v>1586</v>
      </c>
      <c r="D71" s="83" t="s">
        <v>1327</v>
      </c>
      <c r="E71" s="106">
        <v>49.47</v>
      </c>
      <c r="F71" s="14"/>
    </row>
    <row r="72" spans="1:6" ht="15" customHeight="1" outlineLevel="2">
      <c r="A72" s="42"/>
      <c r="B72" s="83" t="s">
        <v>972</v>
      </c>
      <c r="C72" s="83" t="s">
        <v>1588</v>
      </c>
      <c r="D72" s="83" t="s">
        <v>2324</v>
      </c>
      <c r="E72" s="106">
        <v>960</v>
      </c>
      <c r="F72" s="14"/>
    </row>
    <row r="73" spans="1:5" ht="15" customHeight="1" outlineLevel="1">
      <c r="A73" s="255" t="s">
        <v>1718</v>
      </c>
      <c r="B73" s="256"/>
      <c r="C73" s="256"/>
      <c r="D73" s="257"/>
      <c r="E73" s="105">
        <f>SUM(E74:E80)</f>
        <v>5045.29</v>
      </c>
    </row>
    <row r="74" spans="1:6" ht="15" customHeight="1" outlineLevel="2">
      <c r="A74" s="42"/>
      <c r="B74" s="82" t="s">
        <v>83</v>
      </c>
      <c r="C74" s="82" t="s">
        <v>1577</v>
      </c>
      <c r="D74" s="82" t="s">
        <v>352</v>
      </c>
      <c r="E74" s="106">
        <v>658.9</v>
      </c>
      <c r="F74" s="14"/>
    </row>
    <row r="75" spans="1:6" ht="15" customHeight="1" outlineLevel="2">
      <c r="A75" s="42"/>
      <c r="B75" s="83" t="s">
        <v>190</v>
      </c>
      <c r="C75" s="83" t="s">
        <v>1577</v>
      </c>
      <c r="D75" s="83" t="s">
        <v>194</v>
      </c>
      <c r="E75" s="106">
        <v>33.47</v>
      </c>
      <c r="F75" s="14"/>
    </row>
    <row r="76" spans="1:6" ht="15" customHeight="1" outlineLevel="2">
      <c r="A76" s="42"/>
      <c r="B76" s="83" t="s">
        <v>1267</v>
      </c>
      <c r="C76" s="83" t="s">
        <v>1577</v>
      </c>
      <c r="D76" s="83" t="s">
        <v>1896</v>
      </c>
      <c r="E76" s="106">
        <v>661.47</v>
      </c>
      <c r="F76" s="14"/>
    </row>
    <row r="77" spans="1:6" ht="15" customHeight="1" outlineLevel="2">
      <c r="A77" s="42"/>
      <c r="B77" s="83" t="s">
        <v>2</v>
      </c>
      <c r="C77" s="83" t="s">
        <v>57</v>
      </c>
      <c r="D77" s="83" t="s">
        <v>716</v>
      </c>
      <c r="E77" s="106">
        <v>33.8</v>
      </c>
      <c r="F77" s="14"/>
    </row>
    <row r="78" spans="1:6" ht="15" customHeight="1" outlineLevel="2">
      <c r="A78" s="42"/>
      <c r="B78" s="83" t="s">
        <v>2</v>
      </c>
      <c r="C78" s="83" t="s">
        <v>1581</v>
      </c>
      <c r="D78" s="83" t="s">
        <v>2390</v>
      </c>
      <c r="E78" s="106">
        <v>645.25</v>
      </c>
      <c r="F78" s="14"/>
    </row>
    <row r="79" spans="1:6" ht="15" customHeight="1" outlineLevel="2">
      <c r="A79" s="42"/>
      <c r="B79" s="83" t="s">
        <v>2</v>
      </c>
      <c r="C79" s="83" t="s">
        <v>57</v>
      </c>
      <c r="D79" s="83" t="s">
        <v>936</v>
      </c>
      <c r="E79" s="106">
        <v>134.4</v>
      </c>
      <c r="F79" s="14"/>
    </row>
    <row r="80" spans="1:6" ht="30" outlineLevel="2">
      <c r="A80" s="42"/>
      <c r="B80" s="84" t="s">
        <v>712</v>
      </c>
      <c r="C80" s="84" t="s">
        <v>1583</v>
      </c>
      <c r="D80" s="84" t="s">
        <v>713</v>
      </c>
      <c r="E80" s="106">
        <v>2878</v>
      </c>
      <c r="F80" s="14"/>
    </row>
    <row r="81" spans="1:6" ht="15" customHeight="1" outlineLevel="2">
      <c r="A81" s="255" t="s">
        <v>0</v>
      </c>
      <c r="B81" s="256"/>
      <c r="C81" s="256"/>
      <c r="D81" s="257"/>
      <c r="E81" s="105">
        <f>0.1*1284.6*12</f>
        <v>1541.52</v>
      </c>
      <c r="F81" s="14"/>
    </row>
    <row r="82" spans="1:6" ht="15" customHeight="1" outlineLevel="2">
      <c r="A82" s="255" t="s">
        <v>1369</v>
      </c>
      <c r="B82" s="256"/>
      <c r="C82" s="256"/>
      <c r="D82" s="257"/>
      <c r="E82" s="105">
        <v>3166.66</v>
      </c>
      <c r="F82" s="14"/>
    </row>
    <row r="83" spans="1:6" ht="15" customHeight="1">
      <c r="A83" s="42"/>
      <c r="B83" s="273" t="s">
        <v>255</v>
      </c>
      <c r="C83" s="273"/>
      <c r="D83" s="273"/>
      <c r="E83" s="43">
        <f>0.94*1284.6*12</f>
        <v>14490.287999999999</v>
      </c>
      <c r="F83" s="26"/>
    </row>
    <row r="84" spans="1:6" ht="15" customHeight="1">
      <c r="A84" s="42"/>
      <c r="B84" s="270" t="s">
        <v>59</v>
      </c>
      <c r="C84" s="270"/>
      <c r="D84" s="270"/>
      <c r="E84" s="43">
        <f>1.57*1284.6*12</f>
        <v>24201.863999999998</v>
      </c>
      <c r="F84" s="14"/>
    </row>
    <row r="85" spans="1:6" ht="15" customHeight="1">
      <c r="A85" s="42"/>
      <c r="B85" s="270" t="s">
        <v>256</v>
      </c>
      <c r="C85" s="270"/>
      <c r="D85" s="270"/>
      <c r="E85" s="43">
        <f>10.3*(E87+E88)/100</f>
        <v>34057.69572</v>
      </c>
      <c r="F85" s="14"/>
    </row>
    <row r="86" spans="1:5" ht="15" customHeight="1">
      <c r="A86" s="42">
        <v>1</v>
      </c>
      <c r="B86" s="272" t="s">
        <v>659</v>
      </c>
      <c r="C86" s="272"/>
      <c r="D86" s="272"/>
      <c r="E86" s="44">
        <f>E85+E84+E83+E12+E4</f>
        <v>287782.10971999995</v>
      </c>
    </row>
    <row r="87" spans="1:6" ht="15" customHeight="1">
      <c r="A87" s="42">
        <v>2</v>
      </c>
      <c r="B87" s="270" t="s">
        <v>258</v>
      </c>
      <c r="C87" s="270"/>
      <c r="D87" s="270"/>
      <c r="E87" s="43">
        <v>290577.72</v>
      </c>
      <c r="F87" s="14"/>
    </row>
    <row r="88" spans="1:5" ht="15" customHeight="1">
      <c r="A88" s="42">
        <v>3</v>
      </c>
      <c r="B88" s="270" t="s">
        <v>259</v>
      </c>
      <c r="C88" s="270"/>
      <c r="D88" s="270"/>
      <c r="E88" s="43">
        <v>40079.52</v>
      </c>
    </row>
    <row r="89" spans="1:5" ht="15" customHeight="1">
      <c r="A89" s="42">
        <v>4</v>
      </c>
      <c r="B89" s="270" t="s">
        <v>660</v>
      </c>
      <c r="C89" s="270"/>
      <c r="D89" s="270"/>
      <c r="E89" s="43">
        <v>905790.66</v>
      </c>
    </row>
    <row r="90" spans="1:5" ht="15" customHeight="1">
      <c r="A90" s="42">
        <v>5</v>
      </c>
      <c r="B90" s="270" t="s">
        <v>2340</v>
      </c>
      <c r="C90" s="270"/>
      <c r="D90" s="270"/>
      <c r="E90" s="43">
        <v>781872.22</v>
      </c>
    </row>
    <row r="91" spans="1:5" ht="15" customHeight="1">
      <c r="A91" s="42">
        <v>6</v>
      </c>
      <c r="B91" s="272" t="s">
        <v>2341</v>
      </c>
      <c r="C91" s="272"/>
      <c r="D91" s="272"/>
      <c r="E91" s="44">
        <f>'[5]Мира 4'!$E$62+E86</f>
        <v>806686.4397199999</v>
      </c>
    </row>
    <row r="92" spans="1:5" ht="15" customHeight="1">
      <c r="A92" s="42">
        <v>7</v>
      </c>
      <c r="B92" s="270" t="s">
        <v>732</v>
      </c>
      <c r="C92" s="270"/>
      <c r="D92" s="270"/>
      <c r="E92" s="43">
        <v>125479.7</v>
      </c>
    </row>
    <row r="93" spans="1:5" ht="15" customHeight="1">
      <c r="A93" s="42">
        <v>8</v>
      </c>
      <c r="B93" s="270" t="s">
        <v>733</v>
      </c>
      <c r="C93" s="270"/>
      <c r="D93" s="270"/>
      <c r="E93" s="43">
        <v>108293.6</v>
      </c>
    </row>
    <row r="94" spans="1:5" ht="15" customHeight="1">
      <c r="A94" s="42">
        <v>9</v>
      </c>
      <c r="B94" s="272" t="s">
        <v>734</v>
      </c>
      <c r="C94" s="272"/>
      <c r="D94" s="272"/>
      <c r="E94" s="44">
        <f>'[5]Комсомольский 36'!$E$83</f>
        <v>367783</v>
      </c>
    </row>
    <row r="95" spans="1:5" ht="15" customHeight="1">
      <c r="A95" s="42">
        <v>10</v>
      </c>
      <c r="B95" s="270" t="s">
        <v>260</v>
      </c>
      <c r="C95" s="270"/>
      <c r="D95" s="270"/>
      <c r="E95" s="43">
        <v>273072.44</v>
      </c>
    </row>
    <row r="96" spans="1:5" ht="15" customHeight="1">
      <c r="A96" s="42">
        <v>11</v>
      </c>
      <c r="B96" s="270" t="s">
        <v>735</v>
      </c>
      <c r="C96" s="270"/>
      <c r="D96" s="270"/>
      <c r="E96" s="43">
        <v>37665.01</v>
      </c>
    </row>
    <row r="97" spans="1:5" ht="15" customHeight="1">
      <c r="A97" s="42">
        <v>12</v>
      </c>
      <c r="B97" s="272" t="s">
        <v>736</v>
      </c>
      <c r="C97" s="272"/>
      <c r="D97" s="272"/>
      <c r="E97" s="44">
        <v>0</v>
      </c>
    </row>
    <row r="98" spans="1:5" ht="15" customHeight="1">
      <c r="A98" s="42">
        <v>13</v>
      </c>
      <c r="B98" s="271" t="s">
        <v>737</v>
      </c>
      <c r="C98" s="271"/>
      <c r="D98" s="271"/>
      <c r="E98" s="45">
        <f>E89-E91</f>
        <v>99104.22028000013</v>
      </c>
    </row>
    <row r="99" spans="1:5" ht="15" customHeight="1">
      <c r="A99" s="42">
        <v>14</v>
      </c>
      <c r="B99" s="271" t="s">
        <v>738</v>
      </c>
      <c r="C99" s="271"/>
      <c r="D99" s="271"/>
      <c r="E99" s="45">
        <f>E92-E94</f>
        <v>-242303.3</v>
      </c>
    </row>
    <row r="100" spans="1:5" ht="28.5" customHeight="1">
      <c r="A100" s="42">
        <v>15</v>
      </c>
      <c r="B100" s="271" t="s">
        <v>2273</v>
      </c>
      <c r="C100" s="271"/>
      <c r="D100" s="271"/>
      <c r="E100" s="45">
        <f>E90-E91</f>
        <v>-24814.219719999935</v>
      </c>
    </row>
    <row r="101" ht="12.75">
      <c r="E101" s="39"/>
    </row>
    <row r="102" spans="5:7" ht="12.75">
      <c r="E102" s="39"/>
      <c r="G102" s="12" t="s">
        <v>492</v>
      </c>
    </row>
    <row r="103" spans="5:7" ht="12.75">
      <c r="E103" s="39"/>
      <c r="G103" s="12" t="s">
        <v>493</v>
      </c>
    </row>
    <row r="104" spans="5:7" ht="38.25">
      <c r="E104" s="39"/>
      <c r="G104" s="12" t="s">
        <v>494</v>
      </c>
    </row>
    <row r="105" spans="5:7" ht="12.75">
      <c r="E105" s="39"/>
      <c r="G105" s="12" t="s">
        <v>495</v>
      </c>
    </row>
  </sheetData>
  <sheetProtection/>
  <mergeCells count="39">
    <mergeCell ref="A81:D81"/>
    <mergeCell ref="A82:D82"/>
    <mergeCell ref="A54:D54"/>
    <mergeCell ref="A55:D55"/>
    <mergeCell ref="A67:D67"/>
    <mergeCell ref="A69:D69"/>
    <mergeCell ref="A1:D1"/>
    <mergeCell ref="A5:D5"/>
    <mergeCell ref="A7:D7"/>
    <mergeCell ref="A9:D9"/>
    <mergeCell ref="A41:D41"/>
    <mergeCell ref="A73:D73"/>
    <mergeCell ref="A36:D36"/>
    <mergeCell ref="A38:D38"/>
    <mergeCell ref="B100:D100"/>
    <mergeCell ref="B92:D92"/>
    <mergeCell ref="B93:D93"/>
    <mergeCell ref="B94:D94"/>
    <mergeCell ref="B95:D95"/>
    <mergeCell ref="B98:D98"/>
    <mergeCell ref="B97:D97"/>
    <mergeCell ref="B89:D89"/>
    <mergeCell ref="B86:D86"/>
    <mergeCell ref="B99:D99"/>
    <mergeCell ref="B87:D87"/>
    <mergeCell ref="B91:D91"/>
    <mergeCell ref="B96:D96"/>
    <mergeCell ref="B88:D88"/>
    <mergeCell ref="B90:D90"/>
    <mergeCell ref="B85:D85"/>
    <mergeCell ref="B4:C4"/>
    <mergeCell ref="B12:C12"/>
    <mergeCell ref="B83:D83"/>
    <mergeCell ref="B84:D84"/>
    <mergeCell ref="B8:D8"/>
    <mergeCell ref="A13:D13"/>
    <mergeCell ref="A21:D21"/>
    <mergeCell ref="A26:D26"/>
    <mergeCell ref="A32:D32"/>
  </mergeCells>
  <printOptions/>
  <pageMargins left="0.17" right="0.17" top="0.31496062992125984" bottom="0.15748031496062992" header="0.1968503937007874" footer="0.1574803149606299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4"/>
  <sheetViews>
    <sheetView zoomScalePageLayoutView="0" workbookViewId="0" topLeftCell="A76">
      <selection activeCell="F109" sqref="F109"/>
    </sheetView>
  </sheetViews>
  <sheetFormatPr defaultColWidth="13.421875" defaultRowHeight="12.75" outlineLevelRow="2"/>
  <cols>
    <col min="1" max="1" width="5.28125" style="1" customWidth="1"/>
    <col min="2" max="2" width="11.8515625" style="1" customWidth="1"/>
    <col min="3" max="3" width="14.7109375" style="1" customWidth="1"/>
    <col min="4" max="4" width="68.574218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>
      <c r="A1" s="333" t="s">
        <v>459</v>
      </c>
      <c r="B1" s="334"/>
      <c r="C1" s="334"/>
      <c r="D1" s="335"/>
      <c r="E1" s="107"/>
    </row>
    <row r="2" spans="1:6" ht="15">
      <c r="A2" s="42"/>
      <c r="B2" s="133" t="s">
        <v>1570</v>
      </c>
      <c r="C2" s="134" t="s">
        <v>1571</v>
      </c>
      <c r="D2" s="113" t="s">
        <v>1572</v>
      </c>
      <c r="E2" s="135" t="s">
        <v>1573</v>
      </c>
      <c r="F2" s="6" t="s">
        <v>1574</v>
      </c>
    </row>
    <row r="3" spans="1:5" ht="15">
      <c r="A3" s="91"/>
      <c r="B3" s="308"/>
      <c r="C3" s="308"/>
      <c r="D3" s="155" t="s">
        <v>1575</v>
      </c>
      <c r="E3" s="130">
        <f>E4</f>
        <v>1200</v>
      </c>
    </row>
    <row r="4" spans="1:5" ht="12.75" customHeight="1" outlineLevel="1">
      <c r="A4" s="255" t="s">
        <v>1595</v>
      </c>
      <c r="B4" s="256"/>
      <c r="C4" s="256"/>
      <c r="D4" s="257"/>
      <c r="E4" s="105">
        <f>SUM(E5:E5)</f>
        <v>1200</v>
      </c>
    </row>
    <row r="5" spans="1:6" ht="15" outlineLevel="2">
      <c r="A5" s="81"/>
      <c r="B5" s="303" t="s">
        <v>282</v>
      </c>
      <c r="C5" s="304"/>
      <c r="D5" s="305"/>
      <c r="E5" s="106">
        <v>1200</v>
      </c>
      <c r="F5" s="14"/>
    </row>
    <row r="6" spans="1:5" ht="13.5" customHeight="1">
      <c r="A6" s="136"/>
      <c r="B6" s="309"/>
      <c r="C6" s="309"/>
      <c r="D6" s="142" t="s">
        <v>1600</v>
      </c>
      <c r="E6" s="130">
        <f>E7+E16+E20+E31+E34+E37+E42+E55+E56+E70+E72+E82+E90+E91</f>
        <v>248782.24599999998</v>
      </c>
    </row>
    <row r="7" spans="1:5" ht="15" outlineLevel="1">
      <c r="A7" s="255" t="s">
        <v>1576</v>
      </c>
      <c r="B7" s="256"/>
      <c r="C7" s="256"/>
      <c r="D7" s="257"/>
      <c r="E7" s="105">
        <f>SUM(E8:E15)</f>
        <v>9486.96</v>
      </c>
    </row>
    <row r="8" spans="1:6" ht="15" outlineLevel="2">
      <c r="A8" s="42"/>
      <c r="B8" s="83" t="s">
        <v>2</v>
      </c>
      <c r="C8" s="83" t="s">
        <v>1580</v>
      </c>
      <c r="D8" s="83" t="s">
        <v>2277</v>
      </c>
      <c r="E8" s="106">
        <v>21.69</v>
      </c>
      <c r="F8" s="14"/>
    </row>
    <row r="9" spans="1:6" ht="15" outlineLevel="2">
      <c r="A9" s="42"/>
      <c r="B9" s="83" t="s">
        <v>180</v>
      </c>
      <c r="C9" s="83" t="s">
        <v>1580</v>
      </c>
      <c r="D9" s="83" t="s">
        <v>1085</v>
      </c>
      <c r="E9" s="106">
        <v>4778.09</v>
      </c>
      <c r="F9" s="14"/>
    </row>
    <row r="10" spans="1:6" ht="15" outlineLevel="2">
      <c r="A10" s="42"/>
      <c r="B10" s="83" t="s">
        <v>182</v>
      </c>
      <c r="C10" s="83" t="s">
        <v>1580</v>
      </c>
      <c r="D10" s="83" t="s">
        <v>1413</v>
      </c>
      <c r="E10" s="106">
        <v>256.88</v>
      </c>
      <c r="F10" s="14"/>
    </row>
    <row r="11" spans="1:6" ht="29.25" customHeight="1" outlineLevel="2">
      <c r="A11" s="42"/>
      <c r="B11" s="83" t="s">
        <v>508</v>
      </c>
      <c r="C11" s="83" t="s">
        <v>1582</v>
      </c>
      <c r="D11" s="83" t="s">
        <v>509</v>
      </c>
      <c r="E11" s="106">
        <v>130.23</v>
      </c>
      <c r="F11" s="14"/>
    </row>
    <row r="12" spans="1:6" ht="15" outlineLevel="2">
      <c r="A12" s="42"/>
      <c r="B12" s="83" t="s">
        <v>1695</v>
      </c>
      <c r="C12" s="83" t="s">
        <v>1583</v>
      </c>
      <c r="D12" s="83" t="s">
        <v>1148</v>
      </c>
      <c r="E12" s="106">
        <v>2921</v>
      </c>
      <c r="F12" s="14"/>
    </row>
    <row r="13" spans="1:6" ht="15" outlineLevel="2">
      <c r="A13" s="42"/>
      <c r="B13" s="83" t="s">
        <v>1033</v>
      </c>
      <c r="C13" s="83" t="s">
        <v>1583</v>
      </c>
      <c r="D13" s="83" t="s">
        <v>509</v>
      </c>
      <c r="E13" s="106">
        <v>1076.92</v>
      </c>
      <c r="F13" s="14"/>
    </row>
    <row r="14" spans="1:6" ht="15" outlineLevel="2">
      <c r="A14" s="42"/>
      <c r="B14" s="83" t="s">
        <v>2</v>
      </c>
      <c r="C14" s="83" t="s">
        <v>1583</v>
      </c>
      <c r="D14" s="83" t="s">
        <v>855</v>
      </c>
      <c r="E14" s="106">
        <v>80.15</v>
      </c>
      <c r="F14" s="14"/>
    </row>
    <row r="15" spans="1:6" ht="15" outlineLevel="2">
      <c r="A15" s="42"/>
      <c r="B15" s="83" t="s">
        <v>1537</v>
      </c>
      <c r="C15" s="83" t="s">
        <v>1585</v>
      </c>
      <c r="D15" s="83" t="s">
        <v>1538</v>
      </c>
      <c r="E15" s="106">
        <v>222</v>
      </c>
      <c r="F15" s="14"/>
    </row>
    <row r="16" spans="1:5" ht="15" outlineLevel="1">
      <c r="A16" s="255" t="s">
        <v>1589</v>
      </c>
      <c r="B16" s="256"/>
      <c r="C16" s="256"/>
      <c r="D16" s="257"/>
      <c r="E16" s="105">
        <f>SUM(E17:E19)</f>
        <v>2808.27</v>
      </c>
    </row>
    <row r="17" spans="1:6" ht="30" outlineLevel="2">
      <c r="A17" s="42"/>
      <c r="B17" s="83" t="s">
        <v>876</v>
      </c>
      <c r="C17" s="83" t="s">
        <v>1578</v>
      </c>
      <c r="D17" s="83" t="s">
        <v>383</v>
      </c>
      <c r="E17" s="106">
        <v>1189.28</v>
      </c>
      <c r="F17" s="14"/>
    </row>
    <row r="18" spans="1:6" ht="15" outlineLevel="2">
      <c r="A18" s="42"/>
      <c r="B18" s="83" t="s">
        <v>14</v>
      </c>
      <c r="C18" s="83" t="s">
        <v>1579</v>
      </c>
      <c r="D18" s="83" t="s">
        <v>2175</v>
      </c>
      <c r="E18" s="106">
        <v>467.2</v>
      </c>
      <c r="F18" s="14"/>
    </row>
    <row r="19" spans="1:6" ht="15" outlineLevel="2">
      <c r="A19" s="42"/>
      <c r="B19" s="83" t="s">
        <v>1489</v>
      </c>
      <c r="C19" s="83" t="s">
        <v>1580</v>
      </c>
      <c r="D19" s="83" t="s">
        <v>1621</v>
      </c>
      <c r="E19" s="106">
        <v>1151.79</v>
      </c>
      <c r="F19" s="14"/>
    </row>
    <row r="20" spans="1:5" ht="15" customHeight="1" outlineLevel="1">
      <c r="A20" s="255" t="s">
        <v>1590</v>
      </c>
      <c r="B20" s="256"/>
      <c r="C20" s="256"/>
      <c r="D20" s="257"/>
      <c r="E20" s="105">
        <f>SUM(E21:E30)</f>
        <v>61222.62</v>
      </c>
    </row>
    <row r="21" spans="1:6" ht="15" outlineLevel="2">
      <c r="A21" s="42"/>
      <c r="B21" s="88" t="s">
        <v>2</v>
      </c>
      <c r="C21" s="82" t="s">
        <v>1577</v>
      </c>
      <c r="D21" s="82" t="s">
        <v>1724</v>
      </c>
      <c r="E21" s="106">
        <v>100.3</v>
      </c>
      <c r="F21" s="14"/>
    </row>
    <row r="22" spans="1:6" ht="15" outlineLevel="2">
      <c r="A22" s="42"/>
      <c r="B22" s="87" t="s">
        <v>1701</v>
      </c>
      <c r="C22" s="83" t="s">
        <v>1580</v>
      </c>
      <c r="D22" s="83" t="s">
        <v>1063</v>
      </c>
      <c r="E22" s="106">
        <v>4158.5</v>
      </c>
      <c r="F22" s="14"/>
    </row>
    <row r="23" spans="1:6" ht="15" outlineLevel="2">
      <c r="A23" s="42"/>
      <c r="B23" s="87" t="s">
        <v>836</v>
      </c>
      <c r="C23" s="83" t="s">
        <v>1580</v>
      </c>
      <c r="D23" s="83" t="s">
        <v>842</v>
      </c>
      <c r="E23" s="106">
        <v>81.8</v>
      </c>
      <c r="F23" s="14"/>
    </row>
    <row r="24" spans="1:6" ht="15" outlineLevel="2">
      <c r="A24" s="42"/>
      <c r="B24" s="87" t="s">
        <v>2</v>
      </c>
      <c r="C24" s="83" t="s">
        <v>1581</v>
      </c>
      <c r="D24" s="83" t="s">
        <v>940</v>
      </c>
      <c r="E24" s="106">
        <v>165.51</v>
      </c>
      <c r="F24" s="14"/>
    </row>
    <row r="25" spans="1:6" ht="15" outlineLevel="2">
      <c r="A25" s="42"/>
      <c r="B25" s="87" t="s">
        <v>1689</v>
      </c>
      <c r="C25" s="83" t="s">
        <v>1582</v>
      </c>
      <c r="D25" s="83" t="s">
        <v>2414</v>
      </c>
      <c r="E25" s="106">
        <v>8355.02</v>
      </c>
      <c r="F25" s="14"/>
    </row>
    <row r="26" spans="1:6" ht="15" outlineLevel="2">
      <c r="A26" s="42"/>
      <c r="B26" s="87" t="s">
        <v>33</v>
      </c>
      <c r="C26" s="83" t="s">
        <v>1584</v>
      </c>
      <c r="D26" s="83" t="s">
        <v>703</v>
      </c>
      <c r="E26" s="106">
        <v>1995.6</v>
      </c>
      <c r="F26" s="14"/>
    </row>
    <row r="27" spans="1:6" ht="15" outlineLevel="2">
      <c r="A27" s="42"/>
      <c r="B27" s="87" t="s">
        <v>197</v>
      </c>
      <c r="C27" s="83" t="s">
        <v>1584</v>
      </c>
      <c r="D27" s="83" t="s">
        <v>760</v>
      </c>
      <c r="E27" s="106">
        <v>5627.71</v>
      </c>
      <c r="F27" s="14"/>
    </row>
    <row r="28" spans="1:6" ht="15" outlineLevel="2">
      <c r="A28" s="42"/>
      <c r="B28" s="87" t="s">
        <v>1298</v>
      </c>
      <c r="C28" s="83" t="s">
        <v>1585</v>
      </c>
      <c r="D28" s="83" t="s">
        <v>1299</v>
      </c>
      <c r="E28" s="106">
        <v>39222</v>
      </c>
      <c r="F28" s="14"/>
    </row>
    <row r="29" spans="1:6" ht="30" outlineLevel="2">
      <c r="A29" s="42"/>
      <c r="B29" s="87" t="s">
        <v>190</v>
      </c>
      <c r="C29" s="83" t="s">
        <v>1586</v>
      </c>
      <c r="D29" s="83" t="s">
        <v>783</v>
      </c>
      <c r="E29" s="106">
        <v>1470.65</v>
      </c>
      <c r="F29" s="14"/>
    </row>
    <row r="30" spans="1:6" ht="15" outlineLevel="2">
      <c r="A30" s="42"/>
      <c r="B30" s="87" t="s">
        <v>1199</v>
      </c>
      <c r="C30" s="83" t="s">
        <v>1587</v>
      </c>
      <c r="D30" s="83" t="s">
        <v>1179</v>
      </c>
      <c r="E30" s="106">
        <v>45.53</v>
      </c>
      <c r="F30" s="14"/>
    </row>
    <row r="31" spans="1:5" ht="15" customHeight="1" outlineLevel="1">
      <c r="A31" s="255" t="s">
        <v>1591</v>
      </c>
      <c r="B31" s="256"/>
      <c r="C31" s="256"/>
      <c r="D31" s="257"/>
      <c r="E31" s="105">
        <f>SUM(E32:E33)</f>
        <v>2150.76</v>
      </c>
    </row>
    <row r="32" spans="1:6" ht="15" outlineLevel="2">
      <c r="A32" s="42"/>
      <c r="B32" s="87" t="s">
        <v>11</v>
      </c>
      <c r="C32" s="83" t="s">
        <v>1579</v>
      </c>
      <c r="D32" s="83" t="s">
        <v>275</v>
      </c>
      <c r="E32" s="106">
        <v>707.09</v>
      </c>
      <c r="F32" s="14"/>
    </row>
    <row r="33" spans="1:6" ht="15" outlineLevel="2">
      <c r="A33" s="42"/>
      <c r="B33" s="87" t="s">
        <v>1078</v>
      </c>
      <c r="C33" s="83" t="s">
        <v>1583</v>
      </c>
      <c r="D33" s="83" t="s">
        <v>1077</v>
      </c>
      <c r="E33" s="106">
        <v>1443.67</v>
      </c>
      <c r="F33" s="14"/>
    </row>
    <row r="34" spans="1:5" ht="14.25" customHeight="1" outlineLevel="1">
      <c r="A34" s="255" t="s">
        <v>1594</v>
      </c>
      <c r="B34" s="256"/>
      <c r="C34" s="256"/>
      <c r="D34" s="257"/>
      <c r="E34" s="105">
        <f>SUM(E35:E36)</f>
        <v>58427.46</v>
      </c>
    </row>
    <row r="35" spans="1:6" ht="15" outlineLevel="2">
      <c r="A35" s="42"/>
      <c r="B35" s="87" t="s">
        <v>1641</v>
      </c>
      <c r="C35" s="83" t="s">
        <v>1585</v>
      </c>
      <c r="D35" s="83" t="s">
        <v>1642</v>
      </c>
      <c r="E35" s="106">
        <v>8578.46</v>
      </c>
      <c r="F35" s="14"/>
    </row>
    <row r="36" spans="1:6" ht="15" outlineLevel="2">
      <c r="A36" s="42"/>
      <c r="B36" s="87" t="s">
        <v>2486</v>
      </c>
      <c r="C36" s="83" t="s">
        <v>1585</v>
      </c>
      <c r="D36" s="83" t="s">
        <v>2487</v>
      </c>
      <c r="E36" s="106">
        <v>49849</v>
      </c>
      <c r="F36" s="14"/>
    </row>
    <row r="37" spans="1:5" ht="12.75" customHeight="1" outlineLevel="1">
      <c r="A37" s="255" t="s">
        <v>1599</v>
      </c>
      <c r="B37" s="256"/>
      <c r="C37" s="256"/>
      <c r="D37" s="257"/>
      <c r="E37" s="105">
        <f>SUM(E38:E41)</f>
        <v>5335.46</v>
      </c>
    </row>
    <row r="38" spans="1:6" ht="15" outlineLevel="2">
      <c r="A38" s="42"/>
      <c r="B38" s="83" t="s">
        <v>135</v>
      </c>
      <c r="C38" s="83" t="s">
        <v>1579</v>
      </c>
      <c r="D38" s="83" t="s">
        <v>2343</v>
      </c>
      <c r="E38" s="106">
        <v>29.07</v>
      </c>
      <c r="F38" s="14"/>
    </row>
    <row r="39" spans="1:6" ht="15" outlineLevel="2">
      <c r="A39" s="42"/>
      <c r="B39" s="83" t="s">
        <v>54</v>
      </c>
      <c r="C39" s="83" t="s">
        <v>1584</v>
      </c>
      <c r="D39" s="83" t="s">
        <v>2449</v>
      </c>
      <c r="E39" s="106">
        <v>1292</v>
      </c>
      <c r="F39" s="14"/>
    </row>
    <row r="40" spans="1:6" ht="15" outlineLevel="2">
      <c r="A40" s="42"/>
      <c r="B40" s="83" t="s">
        <v>730</v>
      </c>
      <c r="C40" s="83" t="s">
        <v>1584</v>
      </c>
      <c r="D40" s="83" t="s">
        <v>1405</v>
      </c>
      <c r="E40" s="106">
        <v>2154.85</v>
      </c>
      <c r="F40" s="14"/>
    </row>
    <row r="41" spans="1:6" ht="15" outlineLevel="2">
      <c r="A41" s="42"/>
      <c r="B41" s="83" t="s">
        <v>1427</v>
      </c>
      <c r="C41" s="83" t="s">
        <v>1585</v>
      </c>
      <c r="D41" s="83" t="s">
        <v>1428</v>
      </c>
      <c r="E41" s="106">
        <v>1859.54</v>
      </c>
      <c r="F41" s="14"/>
    </row>
    <row r="42" spans="1:5" ht="12.75" customHeight="1" outlineLevel="1">
      <c r="A42" s="255" t="s">
        <v>1713</v>
      </c>
      <c r="B42" s="256"/>
      <c r="C42" s="256"/>
      <c r="D42" s="257"/>
      <c r="E42" s="105">
        <f>SUM(E43:E54)</f>
        <v>50188.10999999999</v>
      </c>
    </row>
    <row r="43" spans="1:6" ht="15" outlineLevel="2">
      <c r="A43" s="42"/>
      <c r="B43" s="82"/>
      <c r="C43" s="82" t="s">
        <v>1577</v>
      </c>
      <c r="D43" s="82" t="s">
        <v>1496</v>
      </c>
      <c r="E43" s="106">
        <v>4284.46</v>
      </c>
      <c r="F43" s="14"/>
    </row>
    <row r="44" spans="1:6" ht="15" outlineLevel="2">
      <c r="A44" s="42"/>
      <c r="B44" s="83"/>
      <c r="C44" s="83" t="s">
        <v>1578</v>
      </c>
      <c r="D44" s="83" t="s">
        <v>1496</v>
      </c>
      <c r="E44" s="106">
        <v>4284.46</v>
      </c>
      <c r="F44" s="14"/>
    </row>
    <row r="45" spans="1:6" ht="15" outlineLevel="2">
      <c r="A45" s="42"/>
      <c r="B45" s="83"/>
      <c r="C45" s="83" t="s">
        <v>1579</v>
      </c>
      <c r="D45" s="83" t="s">
        <v>1496</v>
      </c>
      <c r="E45" s="106">
        <v>4284.46</v>
      </c>
      <c r="F45" s="14"/>
    </row>
    <row r="46" spans="1:6" ht="15" outlineLevel="2">
      <c r="A46" s="42"/>
      <c r="B46" s="83"/>
      <c r="C46" s="83" t="s">
        <v>1580</v>
      </c>
      <c r="D46" s="83" t="s">
        <v>1496</v>
      </c>
      <c r="E46" s="106">
        <v>4284.46</v>
      </c>
      <c r="F46" s="14"/>
    </row>
    <row r="47" spans="1:6" ht="15" outlineLevel="2">
      <c r="A47" s="42"/>
      <c r="B47" s="83"/>
      <c r="C47" s="83" t="s">
        <v>1581</v>
      </c>
      <c r="D47" s="83" t="s">
        <v>1496</v>
      </c>
      <c r="E47" s="106">
        <v>3785.21</v>
      </c>
      <c r="F47" s="14"/>
    </row>
    <row r="48" spans="1:6" ht="15" outlineLevel="2">
      <c r="A48" s="42"/>
      <c r="B48" s="83"/>
      <c r="C48" s="83" t="s">
        <v>1582</v>
      </c>
      <c r="D48" s="83" t="s">
        <v>1496</v>
      </c>
      <c r="E48" s="106">
        <v>4102.92</v>
      </c>
      <c r="F48" s="14"/>
    </row>
    <row r="49" spans="1:6" ht="15" outlineLevel="2">
      <c r="A49" s="42"/>
      <c r="B49" s="83"/>
      <c r="C49" s="83" t="s">
        <v>1583</v>
      </c>
      <c r="D49" s="83" t="s">
        <v>1496</v>
      </c>
      <c r="E49" s="106">
        <v>4102.92</v>
      </c>
      <c r="F49" s="14"/>
    </row>
    <row r="50" spans="1:6" ht="15" outlineLevel="2">
      <c r="A50" s="42"/>
      <c r="B50" s="83"/>
      <c r="C50" s="83" t="s">
        <v>1584</v>
      </c>
      <c r="D50" s="83" t="s">
        <v>1496</v>
      </c>
      <c r="E50" s="106">
        <v>4102.92</v>
      </c>
      <c r="F50" s="14"/>
    </row>
    <row r="51" spans="1:6" ht="15" outlineLevel="2">
      <c r="A51" s="42"/>
      <c r="B51" s="83"/>
      <c r="C51" s="83" t="s">
        <v>1585</v>
      </c>
      <c r="D51" s="83" t="s">
        <v>1496</v>
      </c>
      <c r="E51" s="106">
        <v>4102.92</v>
      </c>
      <c r="F51" s="14"/>
    </row>
    <row r="52" spans="1:6" ht="15" outlineLevel="2">
      <c r="A52" s="42"/>
      <c r="B52" s="83"/>
      <c r="C52" s="83" t="s">
        <v>1586</v>
      </c>
      <c r="D52" s="83" t="s">
        <v>1496</v>
      </c>
      <c r="E52" s="106">
        <v>4284.46</v>
      </c>
      <c r="F52" s="14"/>
    </row>
    <row r="53" spans="1:6" ht="15" outlineLevel="2">
      <c r="A53" s="42"/>
      <c r="B53" s="83"/>
      <c r="C53" s="83" t="s">
        <v>1587</v>
      </c>
      <c r="D53" s="83" t="s">
        <v>1496</v>
      </c>
      <c r="E53" s="106">
        <v>4284.46</v>
      </c>
      <c r="F53" s="14"/>
    </row>
    <row r="54" spans="1:6" ht="15" outlineLevel="2">
      <c r="A54" s="42"/>
      <c r="B54" s="89"/>
      <c r="C54" s="83" t="s">
        <v>1588</v>
      </c>
      <c r="D54" s="83" t="s">
        <v>1496</v>
      </c>
      <c r="E54" s="106">
        <v>4284.46</v>
      </c>
      <c r="F54" s="14"/>
    </row>
    <row r="55" spans="1:5" ht="15" customHeight="1" outlineLevel="1">
      <c r="A55" s="255" t="s">
        <v>1714</v>
      </c>
      <c r="B55" s="256"/>
      <c r="C55" s="256"/>
      <c r="D55" s="257"/>
      <c r="E55" s="105">
        <f>1.46*1210.3*12</f>
        <v>21204.456</v>
      </c>
    </row>
    <row r="56" spans="1:5" ht="12.75" customHeight="1" outlineLevel="1">
      <c r="A56" s="255" t="s">
        <v>1715</v>
      </c>
      <c r="B56" s="256"/>
      <c r="C56" s="256"/>
      <c r="D56" s="257"/>
      <c r="E56" s="105">
        <f>E57+E58+E59+E60+E61+E62+E63+E64+E65+E66+E67+E68+E69</f>
        <v>7070.630000000001</v>
      </c>
    </row>
    <row r="57" spans="1:6" ht="15" outlineLevel="2">
      <c r="A57" s="42"/>
      <c r="B57" s="83" t="s">
        <v>87</v>
      </c>
      <c r="C57" s="83" t="s">
        <v>1578</v>
      </c>
      <c r="D57" s="83" t="s">
        <v>88</v>
      </c>
      <c r="E57" s="106">
        <v>1007</v>
      </c>
      <c r="F57" s="14"/>
    </row>
    <row r="58" spans="1:6" ht="15" outlineLevel="2">
      <c r="A58" s="42"/>
      <c r="B58" s="83" t="s">
        <v>2</v>
      </c>
      <c r="C58" s="83" t="s">
        <v>1578</v>
      </c>
      <c r="D58" s="83" t="s">
        <v>1495</v>
      </c>
      <c r="E58" s="106">
        <v>106.08</v>
      </c>
      <c r="F58" s="14"/>
    </row>
    <row r="59" spans="1:6" ht="15" outlineLevel="2">
      <c r="A59" s="42"/>
      <c r="B59" s="83" t="s">
        <v>1969</v>
      </c>
      <c r="C59" s="83" t="s">
        <v>1579</v>
      </c>
      <c r="D59" s="83" t="s">
        <v>2233</v>
      </c>
      <c r="E59" s="106">
        <v>319.17</v>
      </c>
      <c r="F59" s="14"/>
    </row>
    <row r="60" spans="1:6" ht="15" outlineLevel="2">
      <c r="A60" s="42"/>
      <c r="B60" s="83" t="s">
        <v>139</v>
      </c>
      <c r="C60" s="83" t="s">
        <v>1580</v>
      </c>
      <c r="D60" s="83" t="s">
        <v>2233</v>
      </c>
      <c r="E60" s="106">
        <v>578.08</v>
      </c>
      <c r="F60" s="14"/>
    </row>
    <row r="61" spans="1:6" ht="15" outlineLevel="2">
      <c r="A61" s="42"/>
      <c r="B61" s="83" t="s">
        <v>1678</v>
      </c>
      <c r="C61" s="83" t="s">
        <v>1581</v>
      </c>
      <c r="D61" s="83" t="s">
        <v>223</v>
      </c>
      <c r="E61" s="106">
        <v>513.59</v>
      </c>
      <c r="F61" s="14"/>
    </row>
    <row r="62" spans="1:6" ht="15" outlineLevel="2">
      <c r="A62" s="42"/>
      <c r="B62" s="83" t="s">
        <v>53</v>
      </c>
      <c r="C62" s="83" t="s">
        <v>1583</v>
      </c>
      <c r="D62" s="83" t="s">
        <v>110</v>
      </c>
      <c r="E62" s="106">
        <v>1956.6</v>
      </c>
      <c r="F62" s="14"/>
    </row>
    <row r="63" spans="1:6" ht="17.25" customHeight="1" outlineLevel="2">
      <c r="A63" s="42"/>
      <c r="B63" s="83" t="s">
        <v>1033</v>
      </c>
      <c r="C63" s="83" t="s">
        <v>1584</v>
      </c>
      <c r="D63" s="83" t="s">
        <v>762</v>
      </c>
      <c r="E63" s="106">
        <v>621.47</v>
      </c>
      <c r="F63" s="14"/>
    </row>
    <row r="64" spans="1:6" ht="15" outlineLevel="2">
      <c r="A64" s="42"/>
      <c r="B64" s="83" t="s">
        <v>538</v>
      </c>
      <c r="C64" s="83" t="s">
        <v>1586</v>
      </c>
      <c r="D64" s="83" t="s">
        <v>110</v>
      </c>
      <c r="E64" s="106">
        <v>1063.13</v>
      </c>
      <c r="F64" s="14"/>
    </row>
    <row r="65" spans="1:6" ht="15" outlineLevel="2">
      <c r="A65" s="42"/>
      <c r="B65" s="83" t="s">
        <v>801</v>
      </c>
      <c r="C65" s="83" t="s">
        <v>1587</v>
      </c>
      <c r="D65" s="83" t="s">
        <v>1289</v>
      </c>
      <c r="E65" s="106">
        <v>42.8</v>
      </c>
      <c r="F65" s="14"/>
    </row>
    <row r="66" spans="1:6" ht="15" outlineLevel="2">
      <c r="A66" s="42"/>
      <c r="B66" s="83" t="s">
        <v>206</v>
      </c>
      <c r="C66" s="83" t="s">
        <v>1587</v>
      </c>
      <c r="D66" s="83" t="s">
        <v>207</v>
      </c>
      <c r="E66" s="106">
        <v>139.2</v>
      </c>
      <c r="F66" s="14"/>
    </row>
    <row r="67" spans="1:6" ht="15" outlineLevel="2">
      <c r="A67" s="42"/>
      <c r="B67" s="83" t="s">
        <v>1286</v>
      </c>
      <c r="C67" s="83" t="s">
        <v>1588</v>
      </c>
      <c r="D67" s="83" t="s">
        <v>1289</v>
      </c>
      <c r="E67" s="106">
        <v>49.6</v>
      </c>
      <c r="F67" s="14"/>
    </row>
    <row r="68" spans="1:6" ht="15" outlineLevel="2">
      <c r="A68" s="42"/>
      <c r="B68" s="83" t="s">
        <v>1958</v>
      </c>
      <c r="C68" s="83" t="s">
        <v>1588</v>
      </c>
      <c r="D68" s="83" t="s">
        <v>1960</v>
      </c>
      <c r="E68" s="106">
        <v>368.11</v>
      </c>
      <c r="F68" s="14"/>
    </row>
    <row r="69" spans="1:6" ht="15" outlineLevel="2">
      <c r="A69" s="42"/>
      <c r="B69" s="83" t="s">
        <v>1899</v>
      </c>
      <c r="C69" s="83" t="s">
        <v>1588</v>
      </c>
      <c r="D69" s="83" t="s">
        <v>1005</v>
      </c>
      <c r="E69" s="106">
        <v>305.8</v>
      </c>
      <c r="F69" s="14"/>
    </row>
    <row r="70" spans="1:5" ht="13.5" customHeight="1" outlineLevel="1">
      <c r="A70" s="255" t="s">
        <v>1716</v>
      </c>
      <c r="B70" s="256"/>
      <c r="C70" s="256"/>
      <c r="D70" s="257"/>
      <c r="E70" s="105">
        <f>SUM(E71:E71)</f>
        <v>673.08</v>
      </c>
    </row>
    <row r="71" spans="1:6" ht="15" outlineLevel="2">
      <c r="A71" s="42"/>
      <c r="B71" s="83" t="s">
        <v>55</v>
      </c>
      <c r="C71" s="83" t="s">
        <v>1584</v>
      </c>
      <c r="D71" s="83" t="s">
        <v>933</v>
      </c>
      <c r="E71" s="106">
        <v>673.08</v>
      </c>
      <c r="F71" s="14"/>
    </row>
    <row r="72" spans="1:5" ht="12.75" customHeight="1" outlineLevel="1">
      <c r="A72" s="255" t="s">
        <v>1595</v>
      </c>
      <c r="B72" s="256"/>
      <c r="C72" s="256"/>
      <c r="D72" s="257"/>
      <c r="E72" s="105">
        <f>SUM(E73:E81)</f>
        <v>22048.29</v>
      </c>
    </row>
    <row r="73" spans="1:6" ht="15" outlineLevel="2">
      <c r="A73" s="42"/>
      <c r="B73" s="83" t="s">
        <v>1992</v>
      </c>
      <c r="C73" s="83" t="s">
        <v>1579</v>
      </c>
      <c r="D73" s="83" t="s">
        <v>1613</v>
      </c>
      <c r="E73" s="106">
        <v>37.08</v>
      </c>
      <c r="F73" s="14"/>
    </row>
    <row r="74" spans="1:6" ht="15" outlineLevel="2">
      <c r="A74" s="42"/>
      <c r="B74" s="83" t="s">
        <v>15</v>
      </c>
      <c r="C74" s="83" t="s">
        <v>1579</v>
      </c>
      <c r="D74" s="83" t="s">
        <v>1711</v>
      </c>
      <c r="E74" s="106">
        <v>340.15</v>
      </c>
      <c r="F74" s="14"/>
    </row>
    <row r="75" spans="1:6" ht="15" outlineLevel="2">
      <c r="A75" s="42"/>
      <c r="B75" s="83" t="s">
        <v>2135</v>
      </c>
      <c r="C75" s="83" t="s">
        <v>1579</v>
      </c>
      <c r="D75" s="83" t="s">
        <v>2058</v>
      </c>
      <c r="E75" s="106">
        <v>1593.77</v>
      </c>
      <c r="F75" s="14"/>
    </row>
    <row r="76" spans="1:6" ht="15" outlineLevel="2">
      <c r="A76" s="42"/>
      <c r="B76" s="83" t="s">
        <v>478</v>
      </c>
      <c r="C76" s="83" t="s">
        <v>1580</v>
      </c>
      <c r="D76" s="83" t="s">
        <v>482</v>
      </c>
      <c r="E76" s="106">
        <v>310.29</v>
      </c>
      <c r="F76" s="14"/>
    </row>
    <row r="77" spans="1:6" ht="15" outlineLevel="2">
      <c r="A77" s="42"/>
      <c r="B77" s="83" t="s">
        <v>1026</v>
      </c>
      <c r="C77" s="83" t="s">
        <v>1580</v>
      </c>
      <c r="D77" s="83" t="s">
        <v>2392</v>
      </c>
      <c r="E77" s="106">
        <v>398.6</v>
      </c>
      <c r="F77" s="14"/>
    </row>
    <row r="78" spans="1:6" ht="15" outlineLevel="2">
      <c r="A78" s="42"/>
      <c r="B78" s="83" t="s">
        <v>515</v>
      </c>
      <c r="C78" s="83" t="s">
        <v>1584</v>
      </c>
      <c r="D78" s="83" t="s">
        <v>516</v>
      </c>
      <c r="E78" s="106">
        <v>667</v>
      </c>
      <c r="F78" s="14"/>
    </row>
    <row r="79" spans="1:6" ht="15" outlineLevel="2">
      <c r="A79" s="42"/>
      <c r="B79" s="83" t="s">
        <v>522</v>
      </c>
      <c r="C79" s="83" t="s">
        <v>1584</v>
      </c>
      <c r="D79" s="83" t="s">
        <v>523</v>
      </c>
      <c r="E79" s="106">
        <v>1782.4</v>
      </c>
      <c r="F79" s="14"/>
    </row>
    <row r="80" spans="1:6" ht="15" outlineLevel="2">
      <c r="A80" s="42"/>
      <c r="B80" s="83" t="s">
        <v>2432</v>
      </c>
      <c r="C80" s="83" t="s">
        <v>1585</v>
      </c>
      <c r="D80" s="83" t="s">
        <v>2433</v>
      </c>
      <c r="E80" s="106">
        <v>16822</v>
      </c>
      <c r="F80" s="14"/>
    </row>
    <row r="81" spans="1:6" ht="15" outlineLevel="2">
      <c r="A81" s="42"/>
      <c r="B81" s="83" t="s">
        <v>414</v>
      </c>
      <c r="C81" s="83" t="s">
        <v>1586</v>
      </c>
      <c r="D81" s="83" t="s">
        <v>413</v>
      </c>
      <c r="E81" s="106">
        <v>97</v>
      </c>
      <c r="F81" s="14"/>
    </row>
    <row r="82" spans="1:5" ht="14.25" customHeight="1" outlineLevel="1">
      <c r="A82" s="255" t="s">
        <v>1718</v>
      </c>
      <c r="B82" s="256"/>
      <c r="C82" s="256"/>
      <c r="D82" s="257"/>
      <c r="E82" s="105">
        <f>SUM(E83:E89)</f>
        <v>3547.13</v>
      </c>
    </row>
    <row r="83" spans="1:6" ht="30" outlineLevel="2">
      <c r="A83" s="42"/>
      <c r="B83" s="82" t="s">
        <v>190</v>
      </c>
      <c r="C83" s="82" t="s">
        <v>1577</v>
      </c>
      <c r="D83" s="82" t="s">
        <v>193</v>
      </c>
      <c r="E83" s="106">
        <v>33.47</v>
      </c>
      <c r="F83" s="14"/>
    </row>
    <row r="84" spans="1:6" ht="15" outlineLevel="2">
      <c r="A84" s="42"/>
      <c r="B84" s="83" t="s">
        <v>2</v>
      </c>
      <c r="C84" s="83" t="s">
        <v>1577</v>
      </c>
      <c r="D84" s="83" t="s">
        <v>1897</v>
      </c>
      <c r="E84" s="106">
        <v>623.21</v>
      </c>
      <c r="F84" s="14"/>
    </row>
    <row r="85" spans="1:6" ht="15" outlineLevel="2">
      <c r="A85" s="42"/>
      <c r="B85" s="83" t="s">
        <v>12</v>
      </c>
      <c r="C85" s="83" t="s">
        <v>1579</v>
      </c>
      <c r="D85" s="83" t="s">
        <v>2227</v>
      </c>
      <c r="E85" s="106">
        <v>341.36</v>
      </c>
      <c r="F85" s="14"/>
    </row>
    <row r="86" spans="1:6" ht="15" outlineLevel="2">
      <c r="A86" s="42"/>
      <c r="B86" s="83" t="s">
        <v>2</v>
      </c>
      <c r="C86" s="83" t="s">
        <v>57</v>
      </c>
      <c r="D86" s="83" t="s">
        <v>717</v>
      </c>
      <c r="E86" s="106">
        <v>33.8</v>
      </c>
      <c r="F86" s="14"/>
    </row>
    <row r="87" spans="1:6" ht="15" outlineLevel="2">
      <c r="A87" s="42"/>
      <c r="B87" s="83" t="s">
        <v>2</v>
      </c>
      <c r="C87" s="83" t="s">
        <v>1581</v>
      </c>
      <c r="D87" s="83" t="s">
        <v>2390</v>
      </c>
      <c r="E87" s="106">
        <v>607.93</v>
      </c>
      <c r="F87" s="14"/>
    </row>
    <row r="88" spans="1:6" ht="15" outlineLevel="2">
      <c r="A88" s="42"/>
      <c r="B88" s="83" t="s">
        <v>2</v>
      </c>
      <c r="C88" s="83" t="s">
        <v>57</v>
      </c>
      <c r="D88" s="83" t="s">
        <v>936</v>
      </c>
      <c r="E88" s="106">
        <v>134.4</v>
      </c>
      <c r="F88" s="14"/>
    </row>
    <row r="89" spans="1:6" ht="15" outlineLevel="2">
      <c r="A89" s="42"/>
      <c r="B89" s="137" t="s">
        <v>1955</v>
      </c>
      <c r="C89" s="84" t="s">
        <v>1588</v>
      </c>
      <c r="D89" s="138" t="s">
        <v>1726</v>
      </c>
      <c r="E89" s="106">
        <v>1772.96</v>
      </c>
      <c r="F89" s="14"/>
    </row>
    <row r="90" spans="1:6" ht="13.5" customHeight="1" outlineLevel="2">
      <c r="A90" s="255" t="s">
        <v>0</v>
      </c>
      <c r="B90" s="256"/>
      <c r="C90" s="256"/>
      <c r="D90" s="257"/>
      <c r="E90" s="105">
        <f>0.1*1210.3*12</f>
        <v>1452.3600000000001</v>
      </c>
      <c r="F90" s="14"/>
    </row>
    <row r="91" spans="1:6" ht="14.25" customHeight="1" outlineLevel="2">
      <c r="A91" s="255" t="s">
        <v>1369</v>
      </c>
      <c r="B91" s="256"/>
      <c r="C91" s="256"/>
      <c r="D91" s="257"/>
      <c r="E91" s="105">
        <v>3166.66</v>
      </c>
      <c r="F91" s="14"/>
    </row>
    <row r="92" spans="1:6" ht="15">
      <c r="A92" s="42"/>
      <c r="B92" s="273" t="s">
        <v>255</v>
      </c>
      <c r="C92" s="273"/>
      <c r="D92" s="273"/>
      <c r="E92" s="43">
        <f>0.94*1210.3*12</f>
        <v>13652.183999999997</v>
      </c>
      <c r="F92" s="26"/>
    </row>
    <row r="93" spans="1:6" ht="15">
      <c r="A93" s="42"/>
      <c r="B93" s="270" t="s">
        <v>59</v>
      </c>
      <c r="C93" s="270"/>
      <c r="D93" s="270"/>
      <c r="E93" s="43">
        <f>1.57*1210.3*12</f>
        <v>22802.052</v>
      </c>
      <c r="F93" s="14"/>
    </row>
    <row r="94" spans="1:6" ht="15">
      <c r="A94" s="42"/>
      <c r="B94" s="270" t="s">
        <v>256</v>
      </c>
      <c r="C94" s="270"/>
      <c r="D94" s="270"/>
      <c r="E94" s="43">
        <f>10.3*(E96+E97)/100</f>
        <v>32111.663160000007</v>
      </c>
      <c r="F94" s="14"/>
    </row>
    <row r="95" spans="1:5" ht="15">
      <c r="A95" s="42">
        <v>1</v>
      </c>
      <c r="B95" s="272" t="s">
        <v>659</v>
      </c>
      <c r="C95" s="272"/>
      <c r="D95" s="272"/>
      <c r="E95" s="44">
        <f>E94+E93+E92+E6+E3</f>
        <v>318548.14515999996</v>
      </c>
    </row>
    <row r="96" spans="1:6" ht="15">
      <c r="A96" s="42">
        <v>2</v>
      </c>
      <c r="B96" s="270" t="s">
        <v>258</v>
      </c>
      <c r="C96" s="270"/>
      <c r="D96" s="270"/>
      <c r="E96" s="43">
        <v>273974.28</v>
      </c>
      <c r="F96" s="14"/>
    </row>
    <row r="97" spans="1:5" ht="15">
      <c r="A97" s="42">
        <v>3</v>
      </c>
      <c r="B97" s="270" t="s">
        <v>259</v>
      </c>
      <c r="C97" s="270"/>
      <c r="D97" s="270"/>
      <c r="E97" s="43">
        <v>37789.44</v>
      </c>
    </row>
    <row r="98" spans="1:5" ht="15">
      <c r="A98" s="42">
        <v>4</v>
      </c>
      <c r="B98" s="270" t="s">
        <v>660</v>
      </c>
      <c r="C98" s="270"/>
      <c r="D98" s="270"/>
      <c r="E98" s="43">
        <f>E96+'[6]Мира 6'!$E$78</f>
        <v>840078.5</v>
      </c>
    </row>
    <row r="99" spans="1:5" ht="15">
      <c r="A99" s="42">
        <v>5</v>
      </c>
      <c r="B99" s="270" t="s">
        <v>2340</v>
      </c>
      <c r="C99" s="270"/>
      <c r="D99" s="270"/>
      <c r="E99" s="43">
        <f>E105+'[6]Мира 6'!$E$82</f>
        <v>80117.82</v>
      </c>
    </row>
    <row r="100" spans="1:5" ht="15">
      <c r="A100" s="42">
        <v>6</v>
      </c>
      <c r="B100" s="272" t="s">
        <v>2341</v>
      </c>
      <c r="C100" s="272"/>
      <c r="D100" s="272"/>
      <c r="E100" s="44">
        <f>E95+'[6]Мира 6'!$E$75</f>
        <v>502447.1076599999</v>
      </c>
    </row>
    <row r="101" spans="1:5" ht="15">
      <c r="A101" s="42">
        <v>7</v>
      </c>
      <c r="B101" s="270" t="s">
        <v>732</v>
      </c>
      <c r="C101" s="270"/>
      <c r="D101" s="270"/>
      <c r="E101" s="43">
        <v>116255.8</v>
      </c>
    </row>
    <row r="102" spans="1:5" ht="15">
      <c r="A102" s="42">
        <v>8</v>
      </c>
      <c r="B102" s="270" t="s">
        <v>733</v>
      </c>
      <c r="C102" s="270"/>
      <c r="D102" s="270"/>
      <c r="E102" s="43">
        <v>84050.46</v>
      </c>
    </row>
    <row r="103" spans="1:5" ht="15">
      <c r="A103" s="42">
        <v>9</v>
      </c>
      <c r="B103" s="272" t="s">
        <v>734</v>
      </c>
      <c r="C103" s="272"/>
      <c r="D103" s="272"/>
      <c r="E103" s="44">
        <f>'[5]Мира 6'!$E$83</f>
        <v>0</v>
      </c>
    </row>
    <row r="104" spans="1:5" ht="15">
      <c r="A104" s="42">
        <v>10</v>
      </c>
      <c r="B104" s="270" t="s">
        <v>260</v>
      </c>
      <c r="C104" s="270"/>
      <c r="D104" s="270"/>
      <c r="E104" s="43">
        <v>228148.52</v>
      </c>
    </row>
    <row r="105" spans="1:5" ht="15">
      <c r="A105" s="42">
        <v>11</v>
      </c>
      <c r="B105" s="270" t="s">
        <v>735</v>
      </c>
      <c r="C105" s="270"/>
      <c r="D105" s="270"/>
      <c r="E105" s="43">
        <v>31468.66</v>
      </c>
    </row>
    <row r="106" spans="1:5" ht="15">
      <c r="A106" s="42">
        <v>12</v>
      </c>
      <c r="B106" s="272" t="s">
        <v>736</v>
      </c>
      <c r="C106" s="272"/>
      <c r="D106" s="272"/>
      <c r="E106" s="44">
        <v>0</v>
      </c>
    </row>
    <row r="107" spans="1:5" ht="29.25" customHeight="1">
      <c r="A107" s="42">
        <v>13</v>
      </c>
      <c r="B107" s="271" t="s">
        <v>737</v>
      </c>
      <c r="C107" s="271"/>
      <c r="D107" s="271"/>
      <c r="E107" s="45">
        <f>E98-E100</f>
        <v>337631.3923400001</v>
      </c>
    </row>
    <row r="108" spans="1:5" ht="27.75" customHeight="1">
      <c r="A108" s="42">
        <v>14</v>
      </c>
      <c r="B108" s="271" t="s">
        <v>1844</v>
      </c>
      <c r="C108" s="271"/>
      <c r="D108" s="271"/>
      <c r="E108" s="45">
        <f>E101-E103</f>
        <v>116255.8</v>
      </c>
    </row>
    <row r="109" spans="1:5" ht="27.75" customHeight="1">
      <c r="A109" s="42">
        <v>15</v>
      </c>
      <c r="B109" s="271" t="s">
        <v>2273</v>
      </c>
      <c r="C109" s="271"/>
      <c r="D109" s="271"/>
      <c r="E109" s="45">
        <f>E99-E100</f>
        <v>-422329.2876599999</v>
      </c>
    </row>
    <row r="110" ht="12.75">
      <c r="E110" s="39"/>
    </row>
    <row r="111" spans="1:5" ht="38.25">
      <c r="A111" s="12" t="s">
        <v>492</v>
      </c>
      <c r="E111" s="39"/>
    </row>
    <row r="112" spans="1:5" ht="25.5">
      <c r="A112" s="12" t="s">
        <v>493</v>
      </c>
      <c r="E112" s="39"/>
    </row>
    <row r="113" spans="1:5" ht="76.5">
      <c r="A113" s="12" t="s">
        <v>494</v>
      </c>
      <c r="E113" s="39"/>
    </row>
    <row r="114" spans="1:5" ht="25.5">
      <c r="A114" s="12" t="s">
        <v>495</v>
      </c>
      <c r="E114" s="39"/>
    </row>
  </sheetData>
  <sheetProtection/>
  <mergeCells count="37">
    <mergeCell ref="A1:D1"/>
    <mergeCell ref="A4:D4"/>
    <mergeCell ref="A7:D7"/>
    <mergeCell ref="A16:D16"/>
    <mergeCell ref="A56:D56"/>
    <mergeCell ref="A91:D91"/>
    <mergeCell ref="A70:D70"/>
    <mergeCell ref="A72:D72"/>
    <mergeCell ref="A82:D82"/>
    <mergeCell ref="A90:D90"/>
    <mergeCell ref="A42:D42"/>
    <mergeCell ref="A55:D55"/>
    <mergeCell ref="B109:D109"/>
    <mergeCell ref="B101:D101"/>
    <mergeCell ref="B102:D102"/>
    <mergeCell ref="B103:D103"/>
    <mergeCell ref="B104:D104"/>
    <mergeCell ref="B107:D107"/>
    <mergeCell ref="B106:D106"/>
    <mergeCell ref="B98:D98"/>
    <mergeCell ref="B95:D95"/>
    <mergeCell ref="B108:D108"/>
    <mergeCell ref="B96:D96"/>
    <mergeCell ref="B100:D100"/>
    <mergeCell ref="B105:D105"/>
    <mergeCell ref="B97:D97"/>
    <mergeCell ref="B99:D99"/>
    <mergeCell ref="B94:D94"/>
    <mergeCell ref="B3:C3"/>
    <mergeCell ref="B6:C6"/>
    <mergeCell ref="B92:D92"/>
    <mergeCell ref="B93:D93"/>
    <mergeCell ref="B5:D5"/>
    <mergeCell ref="A20:D20"/>
    <mergeCell ref="A31:D31"/>
    <mergeCell ref="A34:D34"/>
    <mergeCell ref="A37:D37"/>
  </mergeCells>
  <printOptions/>
  <pageMargins left="0.31496062992125984" right="0.15748031496062992" top="0.15748031496062992" bottom="0.2362204724409449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47"/>
  <sheetViews>
    <sheetView zoomScalePageLayoutView="0" workbookViewId="0" topLeftCell="A1">
      <pane ySplit="2" topLeftCell="A129" activePane="bottomLeft" state="frozen"/>
      <selection pane="topLeft" activeCell="B1" sqref="B1"/>
      <selection pane="bottomLeft" activeCell="A135" sqref="A135:C135"/>
    </sheetView>
  </sheetViews>
  <sheetFormatPr defaultColWidth="13.421875" defaultRowHeight="12.75" outlineLevelRow="2"/>
  <cols>
    <col min="1" max="1" width="12.00390625" style="74" customWidth="1"/>
    <col min="2" max="2" width="14.7109375" style="74" customWidth="1"/>
    <col min="3" max="3" width="84.28125" style="74" customWidth="1"/>
    <col min="4" max="4" width="14.57421875" style="74" customWidth="1"/>
    <col min="5" max="5" width="4.8515625" style="57" customWidth="1"/>
    <col min="6" max="7" width="11.421875" style="1" customWidth="1"/>
    <col min="8" max="97" width="12.421875" style="1" customWidth="1"/>
    <col min="98" max="16384" width="13.421875" style="1" customWidth="1"/>
  </cols>
  <sheetData>
    <row r="1" spans="1:5" ht="15" customHeight="1" thickBot="1">
      <c r="A1" s="274" t="s">
        <v>1605</v>
      </c>
      <c r="B1" s="259"/>
      <c r="C1" s="259"/>
      <c r="D1" s="259"/>
      <c r="E1" s="178"/>
    </row>
    <row r="2" spans="1:5" ht="12.75">
      <c r="A2" s="2" t="s">
        <v>1570</v>
      </c>
      <c r="B2" s="3" t="s">
        <v>1571</v>
      </c>
      <c r="C2" s="4" t="s">
        <v>1572</v>
      </c>
      <c r="D2" s="5" t="s">
        <v>1573</v>
      </c>
      <c r="E2" s="58"/>
    </row>
    <row r="3" spans="1:5" ht="12.75" customHeight="1">
      <c r="A3" s="289" t="s">
        <v>1575</v>
      </c>
      <c r="B3" s="287"/>
      <c r="C3" s="288"/>
      <c r="D3" s="198">
        <f>D4+D6+D9+D16</f>
        <v>842957.49</v>
      </c>
      <c r="E3" s="59"/>
    </row>
    <row r="4" spans="1:5" ht="12.75" outlineLevel="1">
      <c r="A4" s="280" t="s">
        <v>2137</v>
      </c>
      <c r="B4" s="275"/>
      <c r="C4" s="281"/>
      <c r="D4" s="199">
        <f>D5</f>
        <v>118661</v>
      </c>
      <c r="E4" s="60"/>
    </row>
    <row r="5" spans="1:4" ht="12.75" outlineLevel="2">
      <c r="A5" s="92" t="s">
        <v>1108</v>
      </c>
      <c r="B5" s="92" t="s">
        <v>1582</v>
      </c>
      <c r="C5" s="92" t="s">
        <v>1109</v>
      </c>
      <c r="D5" s="93">
        <v>118661</v>
      </c>
    </row>
    <row r="6" spans="1:5" ht="12.75" outlineLevel="1">
      <c r="A6" s="275" t="s">
        <v>1594</v>
      </c>
      <c r="B6" s="276"/>
      <c r="C6" s="277"/>
      <c r="D6" s="199">
        <f>D7+D8</f>
        <v>518563</v>
      </c>
      <c r="E6" s="60"/>
    </row>
    <row r="7" spans="1:4" ht="12.75" outlineLevel="2">
      <c r="A7" s="72" t="s">
        <v>1907</v>
      </c>
      <c r="B7" s="72" t="s">
        <v>1578</v>
      </c>
      <c r="C7" s="72" t="s">
        <v>1908</v>
      </c>
      <c r="D7" s="93">
        <v>227871</v>
      </c>
    </row>
    <row r="8" spans="1:4" ht="12.75" outlineLevel="2">
      <c r="A8" s="94" t="s">
        <v>1907</v>
      </c>
      <c r="B8" s="94" t="s">
        <v>1584</v>
      </c>
      <c r="C8" s="94" t="s">
        <v>1910</v>
      </c>
      <c r="D8" s="93">
        <v>290692</v>
      </c>
    </row>
    <row r="9" spans="1:5" ht="12.75" customHeight="1" outlineLevel="1">
      <c r="A9" s="275" t="s">
        <v>1595</v>
      </c>
      <c r="B9" s="275"/>
      <c r="C9" s="281"/>
      <c r="D9" s="199">
        <f>D10+D11+D12+D13+D14+D15</f>
        <v>145003.75</v>
      </c>
      <c r="E9" s="60"/>
    </row>
    <row r="10" spans="1:4" ht="12.75" outlineLevel="2">
      <c r="A10" s="72" t="s">
        <v>1420</v>
      </c>
      <c r="B10" s="72" t="s">
        <v>1580</v>
      </c>
      <c r="C10" s="72" t="s">
        <v>1617</v>
      </c>
      <c r="D10" s="93">
        <v>16863.21</v>
      </c>
    </row>
    <row r="11" spans="1:4" ht="12.75" customHeight="1" outlineLevel="2">
      <c r="A11" s="95" t="s">
        <v>242</v>
      </c>
      <c r="B11" s="72" t="s">
        <v>1581</v>
      </c>
      <c r="C11" s="72" t="s">
        <v>1905</v>
      </c>
      <c r="D11" s="93">
        <v>22906</v>
      </c>
    </row>
    <row r="12" spans="1:4" ht="12" customHeight="1" outlineLevel="2">
      <c r="A12" s="95" t="s">
        <v>242</v>
      </c>
      <c r="B12" s="72" t="s">
        <v>1582</v>
      </c>
      <c r="C12" s="72" t="s">
        <v>1904</v>
      </c>
      <c r="D12" s="93">
        <v>51377</v>
      </c>
    </row>
    <row r="13" spans="1:4" ht="12.75" customHeight="1" outlineLevel="2">
      <c r="A13" s="96" t="s">
        <v>242</v>
      </c>
      <c r="B13" s="94" t="s">
        <v>1584</v>
      </c>
      <c r="C13" s="94" t="s">
        <v>244</v>
      </c>
      <c r="D13" s="93">
        <v>44827</v>
      </c>
    </row>
    <row r="14" spans="1:5" ht="12.75" outlineLevel="1">
      <c r="A14" s="284" t="s">
        <v>281</v>
      </c>
      <c r="B14" s="285"/>
      <c r="C14" s="286"/>
      <c r="D14" s="172">
        <v>2400</v>
      </c>
      <c r="E14" s="60"/>
    </row>
    <row r="15" spans="1:5" ht="12.75" outlineLevel="1">
      <c r="A15" s="95" t="s">
        <v>242</v>
      </c>
      <c r="B15" s="94" t="s">
        <v>1579</v>
      </c>
      <c r="C15" s="72" t="s">
        <v>245</v>
      </c>
      <c r="D15" s="172">
        <v>6630.54</v>
      </c>
      <c r="E15" s="60"/>
    </row>
    <row r="16" spans="1:5" ht="12" customHeight="1" outlineLevel="1">
      <c r="A16" s="276" t="s">
        <v>1730</v>
      </c>
      <c r="B16" s="276"/>
      <c r="C16" s="277"/>
      <c r="D16" s="199">
        <f>D20+D19+D18+D17</f>
        <v>60729.740000000005</v>
      </c>
      <c r="E16" s="60"/>
    </row>
    <row r="17" spans="1:4" ht="12.75" outlineLevel="2">
      <c r="A17" s="71" t="s">
        <v>696</v>
      </c>
      <c r="B17" s="71" t="s">
        <v>1577</v>
      </c>
      <c r="C17" s="71" t="s">
        <v>698</v>
      </c>
      <c r="D17" s="93">
        <v>3361.19</v>
      </c>
    </row>
    <row r="18" spans="1:4" ht="12.75" outlineLevel="2">
      <c r="A18" s="72" t="s">
        <v>1475</v>
      </c>
      <c r="B18" s="72" t="s">
        <v>1578</v>
      </c>
      <c r="C18" s="72" t="s">
        <v>1</v>
      </c>
      <c r="D18" s="93">
        <v>23505</v>
      </c>
    </row>
    <row r="19" spans="1:4" ht="12.75" outlineLevel="2">
      <c r="A19" s="72" t="s">
        <v>1481</v>
      </c>
      <c r="B19" s="72" t="s">
        <v>1578</v>
      </c>
      <c r="C19" s="72" t="s">
        <v>1</v>
      </c>
      <c r="D19" s="93">
        <v>31788</v>
      </c>
    </row>
    <row r="20" spans="1:4" ht="12.75" outlineLevel="2">
      <c r="A20" s="94" t="s">
        <v>105</v>
      </c>
      <c r="B20" s="94" t="s">
        <v>1583</v>
      </c>
      <c r="C20" s="94" t="s">
        <v>1314</v>
      </c>
      <c r="D20" s="93">
        <v>2075.55</v>
      </c>
    </row>
    <row r="21" spans="1:5" ht="13.5" customHeight="1">
      <c r="A21" s="287" t="s">
        <v>1600</v>
      </c>
      <c r="B21" s="287"/>
      <c r="C21" s="288"/>
      <c r="D21" s="198">
        <f>D22+D46+D67+D75+D88+D89</f>
        <v>541862.6059999998</v>
      </c>
      <c r="E21" s="59"/>
    </row>
    <row r="22" spans="1:5" ht="12.75" customHeight="1" outlineLevel="1">
      <c r="A22" s="275" t="s">
        <v>2137</v>
      </c>
      <c r="B22" s="275"/>
      <c r="C22" s="281"/>
      <c r="D22" s="199">
        <f>D23+D24+D25+D26+D27+D28+D29+D30+D31+D32+D33+D34+D35+D36+D37+D38+D39+D40+D41+D42+D43+D44+D45</f>
        <v>115473.31999999998</v>
      </c>
      <c r="E22" s="60"/>
    </row>
    <row r="23" spans="1:4" ht="12.75" outlineLevel="2">
      <c r="A23" s="71" t="s">
        <v>2</v>
      </c>
      <c r="B23" s="71" t="s">
        <v>1580</v>
      </c>
      <c r="C23" s="71" t="s">
        <v>2277</v>
      </c>
      <c r="D23" s="93">
        <v>163.28</v>
      </c>
    </row>
    <row r="24" spans="1:4" ht="12.75" outlineLevel="2">
      <c r="A24" s="72" t="s">
        <v>1689</v>
      </c>
      <c r="B24" s="72" t="s">
        <v>1582</v>
      </c>
      <c r="C24" s="72" t="s">
        <v>2407</v>
      </c>
      <c r="D24" s="93">
        <v>399.51</v>
      </c>
    </row>
    <row r="25" spans="1:4" ht="12.75" outlineLevel="2">
      <c r="A25" s="72" t="s">
        <v>875</v>
      </c>
      <c r="B25" s="72" t="s">
        <v>1582</v>
      </c>
      <c r="C25" s="72" t="s">
        <v>1856</v>
      </c>
      <c r="D25" s="93">
        <v>4273.33</v>
      </c>
    </row>
    <row r="26" spans="1:4" ht="12.75" outlineLevel="2">
      <c r="A26" s="72" t="s">
        <v>1039</v>
      </c>
      <c r="B26" s="72" t="s">
        <v>1582</v>
      </c>
      <c r="C26" s="72" t="s">
        <v>1047</v>
      </c>
      <c r="D26" s="93">
        <v>258.8</v>
      </c>
    </row>
    <row r="27" spans="1:4" ht="15.75" customHeight="1" outlineLevel="2">
      <c r="A27" s="72" t="s">
        <v>1202</v>
      </c>
      <c r="B27" s="72" t="s">
        <v>1582</v>
      </c>
      <c r="C27" s="72" t="s">
        <v>123</v>
      </c>
      <c r="D27" s="93">
        <v>9635.03</v>
      </c>
    </row>
    <row r="28" spans="1:4" ht="25.5" outlineLevel="2">
      <c r="A28" s="72" t="s">
        <v>508</v>
      </c>
      <c r="B28" s="72" t="s">
        <v>1582</v>
      </c>
      <c r="C28" s="72" t="s">
        <v>509</v>
      </c>
      <c r="D28" s="93">
        <v>791.62</v>
      </c>
    </row>
    <row r="29" spans="1:4" ht="62.25" customHeight="1" outlineLevel="2">
      <c r="A29" s="72" t="s">
        <v>714</v>
      </c>
      <c r="B29" s="72" t="s">
        <v>1583</v>
      </c>
      <c r="C29" s="72" t="s">
        <v>509</v>
      </c>
      <c r="D29" s="93">
        <v>5653.87</v>
      </c>
    </row>
    <row r="30" spans="1:4" ht="12.75" outlineLevel="2">
      <c r="A30" s="72" t="s">
        <v>826</v>
      </c>
      <c r="B30" s="72" t="s">
        <v>1585</v>
      </c>
      <c r="C30" s="72" t="s">
        <v>1731</v>
      </c>
      <c r="D30" s="93">
        <v>10838.98</v>
      </c>
    </row>
    <row r="31" spans="1:4" ht="12.75" outlineLevel="2">
      <c r="A31" s="72" t="s">
        <v>2429</v>
      </c>
      <c r="B31" s="72" t="s">
        <v>1578</v>
      </c>
      <c r="C31" s="72" t="s">
        <v>596</v>
      </c>
      <c r="D31" s="93">
        <v>4364.04</v>
      </c>
    </row>
    <row r="32" spans="1:4" ht="12.75" outlineLevel="2">
      <c r="A32" s="72" t="s">
        <v>2181</v>
      </c>
      <c r="B32" s="72" t="s">
        <v>1579</v>
      </c>
      <c r="C32" s="72" t="s">
        <v>2318</v>
      </c>
      <c r="D32" s="93">
        <v>658.82</v>
      </c>
    </row>
    <row r="33" spans="1:4" ht="15.75" customHeight="1" outlineLevel="2">
      <c r="A33" s="72" t="s">
        <v>1489</v>
      </c>
      <c r="B33" s="72" t="s">
        <v>1580</v>
      </c>
      <c r="C33" s="72" t="s">
        <v>153</v>
      </c>
      <c r="D33" s="93">
        <v>12370.43</v>
      </c>
    </row>
    <row r="34" spans="1:4" ht="12.75" outlineLevel="2">
      <c r="A34" s="72" t="s">
        <v>42</v>
      </c>
      <c r="B34" s="72" t="s">
        <v>1583</v>
      </c>
      <c r="C34" s="72" t="s">
        <v>154</v>
      </c>
      <c r="D34" s="93">
        <v>8608.56</v>
      </c>
    </row>
    <row r="35" spans="1:4" ht="12.75" outlineLevel="2">
      <c r="A35" s="72" t="s">
        <v>1347</v>
      </c>
      <c r="B35" s="72" t="s">
        <v>1586</v>
      </c>
      <c r="C35" s="72" t="s">
        <v>2475</v>
      </c>
      <c r="D35" s="93">
        <v>1541.11</v>
      </c>
    </row>
    <row r="36" spans="1:4" ht="12.75" outlineLevel="2">
      <c r="A36" s="72" t="s">
        <v>776</v>
      </c>
      <c r="B36" s="72" t="s">
        <v>1587</v>
      </c>
      <c r="C36" s="72" t="s">
        <v>777</v>
      </c>
      <c r="D36" s="93">
        <v>12019.74</v>
      </c>
    </row>
    <row r="37" spans="1:4" ht="12" customHeight="1" outlineLevel="2">
      <c r="A37" s="97" t="s">
        <v>1295</v>
      </c>
      <c r="B37" s="72" t="s">
        <v>1588</v>
      </c>
      <c r="C37" s="72" t="s">
        <v>1732</v>
      </c>
      <c r="D37" s="93">
        <v>9234.23</v>
      </c>
    </row>
    <row r="38" spans="1:4" ht="12.75" outlineLevel="2">
      <c r="A38" s="98" t="s">
        <v>2314</v>
      </c>
      <c r="B38" s="72" t="s">
        <v>1579</v>
      </c>
      <c r="C38" s="72" t="s">
        <v>2318</v>
      </c>
      <c r="D38" s="93">
        <v>261.17</v>
      </c>
    </row>
    <row r="39" spans="1:4" ht="12.75" outlineLevel="2">
      <c r="A39" s="98" t="s">
        <v>2</v>
      </c>
      <c r="B39" s="72" t="s">
        <v>1581</v>
      </c>
      <c r="C39" s="72" t="s">
        <v>938</v>
      </c>
      <c r="D39" s="93">
        <v>165.51</v>
      </c>
    </row>
    <row r="40" spans="1:4" ht="12.75" outlineLevel="2">
      <c r="A40" s="98" t="s">
        <v>1695</v>
      </c>
      <c r="B40" s="72" t="s">
        <v>1583</v>
      </c>
      <c r="C40" s="72" t="s">
        <v>1149</v>
      </c>
      <c r="D40" s="93">
        <v>519.54</v>
      </c>
    </row>
    <row r="41" spans="1:4" ht="12.75" outlineLevel="2">
      <c r="A41" s="98" t="s">
        <v>33</v>
      </c>
      <c r="B41" s="72" t="s">
        <v>1584</v>
      </c>
      <c r="C41" s="72" t="s">
        <v>2462</v>
      </c>
      <c r="D41" s="93">
        <v>3736.43</v>
      </c>
    </row>
    <row r="42" spans="1:4" ht="12.75" outlineLevel="2">
      <c r="A42" s="98" t="s">
        <v>2</v>
      </c>
      <c r="B42" s="72" t="s">
        <v>1584</v>
      </c>
      <c r="C42" s="72" t="s">
        <v>760</v>
      </c>
      <c r="D42" s="93">
        <v>22510.08</v>
      </c>
    </row>
    <row r="43" spans="1:4" ht="12.75" outlineLevel="2">
      <c r="A43" s="98" t="s">
        <v>1347</v>
      </c>
      <c r="B43" s="72" t="s">
        <v>1586</v>
      </c>
      <c r="C43" s="72" t="s">
        <v>1348</v>
      </c>
      <c r="D43" s="93">
        <v>1541.11</v>
      </c>
    </row>
    <row r="44" spans="1:4" ht="15" customHeight="1" outlineLevel="2">
      <c r="A44" s="98" t="s">
        <v>2</v>
      </c>
      <c r="B44" s="72" t="s">
        <v>1586</v>
      </c>
      <c r="C44" s="72" t="s">
        <v>783</v>
      </c>
      <c r="D44" s="93">
        <v>5882.6</v>
      </c>
    </row>
    <row r="45" spans="1:4" ht="12.75" outlineLevel="2">
      <c r="A45" s="98" t="s">
        <v>1199</v>
      </c>
      <c r="B45" s="72" t="s">
        <v>1587</v>
      </c>
      <c r="C45" s="72" t="s">
        <v>1144</v>
      </c>
      <c r="D45" s="93">
        <v>45.53</v>
      </c>
    </row>
    <row r="46" spans="1:5" ht="14.25" customHeight="1" outlineLevel="1">
      <c r="A46" s="282" t="s">
        <v>1591</v>
      </c>
      <c r="B46" s="282"/>
      <c r="C46" s="283"/>
      <c r="D46" s="199">
        <f>D47+D48+D49+D50+D51+D52+D53+D54+D55+D56+D57+D58+D59+D60+D61+D62+D63+D64+D65</f>
        <v>27085.750000000004</v>
      </c>
      <c r="E46" s="60"/>
    </row>
    <row r="47" spans="1:4" ht="12.75" outlineLevel="2">
      <c r="A47" s="99" t="s">
        <v>61</v>
      </c>
      <c r="B47" s="71" t="s">
        <v>1577</v>
      </c>
      <c r="C47" s="71" t="s">
        <v>2120</v>
      </c>
      <c r="D47" s="93">
        <v>350.9</v>
      </c>
    </row>
    <row r="48" spans="1:4" ht="12.75" outlineLevel="2">
      <c r="A48" s="98" t="s">
        <v>2329</v>
      </c>
      <c r="B48" s="72" t="s">
        <v>1578</v>
      </c>
      <c r="C48" s="72" t="s">
        <v>2339</v>
      </c>
      <c r="D48" s="93">
        <v>909.06</v>
      </c>
    </row>
    <row r="49" spans="1:4" ht="12.75" outlineLevel="2">
      <c r="A49" s="98" t="s">
        <v>128</v>
      </c>
      <c r="B49" s="72" t="s">
        <v>1578</v>
      </c>
      <c r="C49" s="72" t="s">
        <v>388</v>
      </c>
      <c r="D49" s="93">
        <v>1371.27</v>
      </c>
    </row>
    <row r="50" spans="1:4" ht="12.75" outlineLevel="2">
      <c r="A50" s="98" t="s">
        <v>130</v>
      </c>
      <c r="B50" s="72" t="s">
        <v>1578</v>
      </c>
      <c r="C50" s="72" t="s">
        <v>1872</v>
      </c>
      <c r="D50" s="93">
        <v>1621.9</v>
      </c>
    </row>
    <row r="51" spans="1:4" ht="12.75" outlineLevel="2">
      <c r="A51" s="98" t="s">
        <v>1238</v>
      </c>
      <c r="B51" s="72" t="s">
        <v>1579</v>
      </c>
      <c r="C51" s="72" t="s">
        <v>502</v>
      </c>
      <c r="D51" s="93">
        <v>1200.64</v>
      </c>
    </row>
    <row r="52" spans="1:4" ht="12.75" outlineLevel="2">
      <c r="A52" s="98" t="s">
        <v>879</v>
      </c>
      <c r="B52" s="72" t="s">
        <v>1579</v>
      </c>
      <c r="C52" s="72" t="s">
        <v>318</v>
      </c>
      <c r="D52" s="93">
        <v>713.75</v>
      </c>
    </row>
    <row r="53" spans="1:4" ht="12.75" outlineLevel="2">
      <c r="A53" s="98" t="s">
        <v>184</v>
      </c>
      <c r="B53" s="72" t="s">
        <v>1580</v>
      </c>
      <c r="C53" s="72" t="s">
        <v>686</v>
      </c>
      <c r="D53" s="93">
        <v>1384.43</v>
      </c>
    </row>
    <row r="54" spans="1:4" ht="12.75" outlineLevel="2">
      <c r="A54" s="98" t="s">
        <v>36</v>
      </c>
      <c r="B54" s="72" t="s">
        <v>1581</v>
      </c>
      <c r="C54" s="72" t="s">
        <v>225</v>
      </c>
      <c r="D54" s="93">
        <v>732.05</v>
      </c>
    </row>
    <row r="55" spans="1:4" ht="12.75" outlineLevel="2">
      <c r="A55" s="98" t="s">
        <v>103</v>
      </c>
      <c r="B55" s="72" t="s">
        <v>1582</v>
      </c>
      <c r="C55" s="72" t="s">
        <v>311</v>
      </c>
      <c r="D55" s="93">
        <v>2139.27</v>
      </c>
    </row>
    <row r="56" spans="1:4" ht="12.75" outlineLevel="2">
      <c r="A56" s="98" t="s">
        <v>102</v>
      </c>
      <c r="B56" s="72" t="s">
        <v>1582</v>
      </c>
      <c r="C56" s="72" t="s">
        <v>1087</v>
      </c>
      <c r="D56" s="93">
        <v>1165.63</v>
      </c>
    </row>
    <row r="57" spans="1:4" ht="12.75" outlineLevel="2">
      <c r="A57" s="98" t="s">
        <v>1683</v>
      </c>
      <c r="B57" s="72" t="s">
        <v>1582</v>
      </c>
      <c r="C57" s="72" t="s">
        <v>2501</v>
      </c>
      <c r="D57" s="93">
        <v>637.59</v>
      </c>
    </row>
    <row r="58" spans="1:4" ht="12.75" outlineLevel="2">
      <c r="A58" s="98" t="s">
        <v>1515</v>
      </c>
      <c r="B58" s="72" t="s">
        <v>1582</v>
      </c>
      <c r="C58" s="72" t="s">
        <v>900</v>
      </c>
      <c r="D58" s="93">
        <v>453.9</v>
      </c>
    </row>
    <row r="59" spans="1:4" ht="12.75" outlineLevel="2">
      <c r="A59" s="98" t="s">
        <v>52</v>
      </c>
      <c r="B59" s="72" t="s">
        <v>1583</v>
      </c>
      <c r="C59" s="72" t="s">
        <v>1155</v>
      </c>
      <c r="D59" s="93">
        <v>5483.98</v>
      </c>
    </row>
    <row r="60" spans="1:4" ht="12.75" outlineLevel="2">
      <c r="A60" s="98" t="s">
        <v>524</v>
      </c>
      <c r="B60" s="72" t="s">
        <v>1584</v>
      </c>
      <c r="C60" s="72" t="s">
        <v>2440</v>
      </c>
      <c r="D60" s="93">
        <v>696.61</v>
      </c>
    </row>
    <row r="61" spans="1:4" ht="12.75" outlineLevel="2">
      <c r="A61" s="98" t="s">
        <v>100</v>
      </c>
      <c r="B61" s="72" t="s">
        <v>1581</v>
      </c>
      <c r="C61" s="72" t="s">
        <v>614</v>
      </c>
      <c r="D61" s="93">
        <v>794.65</v>
      </c>
    </row>
    <row r="62" spans="1:4" ht="12.75" outlineLevel="2">
      <c r="A62" s="98" t="s">
        <v>1251</v>
      </c>
      <c r="B62" s="72" t="s">
        <v>1581</v>
      </c>
      <c r="C62" s="72" t="s">
        <v>452</v>
      </c>
      <c r="D62" s="93">
        <v>1247.3</v>
      </c>
    </row>
    <row r="63" spans="1:4" ht="13.5" customHeight="1" outlineLevel="2">
      <c r="A63" s="98" t="s">
        <v>1924</v>
      </c>
      <c r="B63" s="72" t="s">
        <v>1586</v>
      </c>
      <c r="C63" s="72" t="s">
        <v>326</v>
      </c>
      <c r="D63" s="93">
        <v>3165.13</v>
      </c>
    </row>
    <row r="64" spans="1:4" ht="12.75" outlineLevel="2">
      <c r="A64" s="98" t="s">
        <v>368</v>
      </c>
      <c r="B64" s="72" t="s">
        <v>1587</v>
      </c>
      <c r="C64" s="72" t="s">
        <v>1281</v>
      </c>
      <c r="D64" s="93">
        <v>1002</v>
      </c>
    </row>
    <row r="65" spans="1:4" ht="12.75" outlineLevel="2">
      <c r="A65" s="98" t="s">
        <v>2205</v>
      </c>
      <c r="B65" s="72" t="s">
        <v>1587</v>
      </c>
      <c r="C65" s="72" t="s">
        <v>1131</v>
      </c>
      <c r="D65" s="93">
        <v>2015.69</v>
      </c>
    </row>
    <row r="66" spans="1:4" ht="12.75" outlineLevel="2">
      <c r="A66" s="99" t="s">
        <v>1639</v>
      </c>
      <c r="B66" s="71" t="s">
        <v>1585</v>
      </c>
      <c r="C66" s="71" t="s">
        <v>1640</v>
      </c>
      <c r="D66" s="93">
        <v>16482</v>
      </c>
    </row>
    <row r="67" spans="1:5" ht="13.5" customHeight="1" outlineLevel="1">
      <c r="A67" s="278" t="s">
        <v>1730</v>
      </c>
      <c r="B67" s="278"/>
      <c r="C67" s="279"/>
      <c r="D67" s="199">
        <f>D68+D69+D70+D71+D72+D73+D74</f>
        <v>17956.609999999997</v>
      </c>
      <c r="E67" s="60"/>
    </row>
    <row r="68" spans="1:4" ht="12.75" outlineLevel="2">
      <c r="A68" s="71" t="s">
        <v>1365</v>
      </c>
      <c r="B68" s="71" t="s">
        <v>1577</v>
      </c>
      <c r="C68" s="71" t="s">
        <v>1366</v>
      </c>
      <c r="D68" s="93">
        <v>3222</v>
      </c>
    </row>
    <row r="69" spans="1:4" ht="12.75" outlineLevel="2">
      <c r="A69" s="72" t="s">
        <v>1115</v>
      </c>
      <c r="B69" s="72" t="s">
        <v>1577</v>
      </c>
      <c r="C69" s="72" t="s">
        <v>1405</v>
      </c>
      <c r="D69" s="93">
        <v>9810.7</v>
      </c>
    </row>
    <row r="70" spans="1:4" ht="12.75" outlineLevel="2">
      <c r="A70" s="72" t="s">
        <v>95</v>
      </c>
      <c r="B70" s="72" t="s">
        <v>1580</v>
      </c>
      <c r="C70" s="72" t="s">
        <v>1081</v>
      </c>
      <c r="D70" s="93">
        <v>1498.57</v>
      </c>
    </row>
    <row r="71" spans="1:4" ht="12.75" outlineLevel="2">
      <c r="A71" s="72" t="s">
        <v>1260</v>
      </c>
      <c r="B71" s="72" t="s">
        <v>1583</v>
      </c>
      <c r="C71" s="72" t="s">
        <v>953</v>
      </c>
      <c r="D71" s="93">
        <v>1035.62</v>
      </c>
    </row>
    <row r="72" spans="1:4" ht="12.75" outlineLevel="2">
      <c r="A72" s="72" t="s">
        <v>620</v>
      </c>
      <c r="B72" s="72" t="s">
        <v>1584</v>
      </c>
      <c r="C72" s="72" t="s">
        <v>621</v>
      </c>
      <c r="D72" s="93">
        <v>1286.6</v>
      </c>
    </row>
    <row r="73" spans="1:4" ht="12.75" outlineLevel="2">
      <c r="A73" s="72" t="s">
        <v>1421</v>
      </c>
      <c r="B73" s="72" t="s">
        <v>1585</v>
      </c>
      <c r="C73" s="72" t="s">
        <v>1422</v>
      </c>
      <c r="D73" s="93">
        <v>1099.12</v>
      </c>
    </row>
    <row r="74" spans="1:4" ht="12.75" outlineLevel="2">
      <c r="A74" s="72" t="s">
        <v>1555</v>
      </c>
      <c r="B74" s="72" t="s">
        <v>1586</v>
      </c>
      <c r="C74" s="72" t="s">
        <v>1556</v>
      </c>
      <c r="D74" s="93">
        <v>4</v>
      </c>
    </row>
    <row r="75" spans="1:5" ht="12.75" customHeight="1" outlineLevel="1">
      <c r="A75" s="278" t="s">
        <v>1733</v>
      </c>
      <c r="B75" s="278"/>
      <c r="C75" s="279"/>
      <c r="D75" s="199">
        <f>SUM(D76:D87)</f>
        <v>265143.52599999995</v>
      </c>
      <c r="E75" s="60"/>
    </row>
    <row r="76" spans="1:4" ht="12.75" outlineLevel="2">
      <c r="A76" s="71"/>
      <c r="B76" s="71" t="s">
        <v>1577</v>
      </c>
      <c r="C76" s="71" t="s">
        <v>1496</v>
      </c>
      <c r="D76" s="93">
        <v>38364.1</v>
      </c>
    </row>
    <row r="77" spans="1:4" ht="12.75" outlineLevel="2">
      <c r="A77" s="72"/>
      <c r="B77" s="72" t="s">
        <v>1578</v>
      </c>
      <c r="C77" s="72" t="s">
        <v>1496</v>
      </c>
      <c r="D77" s="93">
        <v>21011.67</v>
      </c>
    </row>
    <row r="78" spans="1:4" ht="12.75" outlineLevel="2">
      <c r="A78" s="72"/>
      <c r="B78" s="72" t="s">
        <v>1579</v>
      </c>
      <c r="C78" s="72" t="s">
        <v>1496</v>
      </c>
      <c r="D78" s="93">
        <v>21011.67</v>
      </c>
    </row>
    <row r="79" spans="1:4" ht="12.75" outlineLevel="2">
      <c r="A79" s="72"/>
      <c r="B79" s="72" t="s">
        <v>1580</v>
      </c>
      <c r="C79" s="72" t="s">
        <v>1496</v>
      </c>
      <c r="D79" s="93">
        <v>21011.67</v>
      </c>
    </row>
    <row r="80" spans="1:4" ht="12.75" outlineLevel="2">
      <c r="A80" s="72"/>
      <c r="B80" s="72" t="s">
        <v>1581</v>
      </c>
      <c r="C80" s="72" t="s">
        <v>1496</v>
      </c>
      <c r="D80" s="93">
        <v>20141.88</v>
      </c>
    </row>
    <row r="81" spans="1:4" ht="12.75" outlineLevel="2">
      <c r="A81" s="72"/>
      <c r="B81" s="72" t="s">
        <v>1582</v>
      </c>
      <c r="C81" s="72" t="s">
        <v>1496</v>
      </c>
      <c r="D81" s="93">
        <f>'[3]Июнь'!$Z$13</f>
        <v>20141.882999999998</v>
      </c>
    </row>
    <row r="82" spans="1:4" ht="12.75" outlineLevel="2">
      <c r="A82" s="72"/>
      <c r="B82" s="72" t="s">
        <v>1583</v>
      </c>
      <c r="C82" s="72" t="s">
        <v>1496</v>
      </c>
      <c r="D82" s="93">
        <f>'[4]Июль'!$Z$13</f>
        <v>20141.882999999998</v>
      </c>
    </row>
    <row r="83" spans="1:4" ht="12.75" outlineLevel="2">
      <c r="A83" s="72"/>
      <c r="B83" s="72" t="s">
        <v>1584</v>
      </c>
      <c r="C83" s="72" t="s">
        <v>1496</v>
      </c>
      <c r="D83" s="93">
        <f>20141.88</f>
        <v>20141.88</v>
      </c>
    </row>
    <row r="84" spans="1:4" ht="12.75" outlineLevel="2">
      <c r="A84" s="72"/>
      <c r="B84" s="72" t="s">
        <v>1585</v>
      </c>
      <c r="C84" s="72" t="s">
        <v>1496</v>
      </c>
      <c r="D84" s="93">
        <v>20141.88</v>
      </c>
    </row>
    <row r="85" spans="1:4" ht="12.75" outlineLevel="2">
      <c r="A85" s="72"/>
      <c r="B85" s="72" t="s">
        <v>1586</v>
      </c>
      <c r="C85" s="72" t="s">
        <v>1496</v>
      </c>
      <c r="D85" s="93">
        <v>21011.67</v>
      </c>
    </row>
    <row r="86" spans="1:4" ht="12.75" outlineLevel="2">
      <c r="A86" s="72"/>
      <c r="B86" s="72" t="s">
        <v>1587</v>
      </c>
      <c r="C86" s="72" t="s">
        <v>1496</v>
      </c>
      <c r="D86" s="93">
        <v>21011.67</v>
      </c>
    </row>
    <row r="87" spans="1:4" ht="12.75" outlineLevel="2">
      <c r="A87" s="73"/>
      <c r="B87" s="72" t="s">
        <v>1588</v>
      </c>
      <c r="C87" s="72" t="s">
        <v>1496</v>
      </c>
      <c r="D87" s="93">
        <v>21011.67</v>
      </c>
    </row>
    <row r="88" spans="1:5" ht="12.75" customHeight="1" outlineLevel="1">
      <c r="A88" s="278" t="s">
        <v>1714</v>
      </c>
      <c r="B88" s="278"/>
      <c r="C88" s="279"/>
      <c r="D88" s="199">
        <f>1.46*5935.5*12</f>
        <v>103989.95999999999</v>
      </c>
      <c r="E88" s="60"/>
    </row>
    <row r="89" spans="1:5" ht="12" customHeight="1" outlineLevel="1">
      <c r="A89" s="278" t="s">
        <v>1715</v>
      </c>
      <c r="B89" s="278"/>
      <c r="C89" s="279"/>
      <c r="D89" s="199">
        <f>SUM(D90:D104)</f>
        <v>12213.439999999999</v>
      </c>
      <c r="E89" s="60"/>
    </row>
    <row r="90" spans="1:4" ht="12.75" outlineLevel="2">
      <c r="A90" s="71" t="s">
        <v>868</v>
      </c>
      <c r="B90" s="71" t="s">
        <v>1577</v>
      </c>
      <c r="C90" s="71" t="s">
        <v>2179</v>
      </c>
      <c r="D90" s="93">
        <v>2164</v>
      </c>
    </row>
    <row r="91" spans="1:4" ht="12.75" outlineLevel="2">
      <c r="A91" s="72" t="s">
        <v>2</v>
      </c>
      <c r="B91" s="72" t="s">
        <v>1579</v>
      </c>
      <c r="C91" s="72" t="s">
        <v>2274</v>
      </c>
      <c r="D91" s="93">
        <v>350.1</v>
      </c>
    </row>
    <row r="92" spans="1:4" ht="12.75" outlineLevel="2">
      <c r="A92" s="72" t="s">
        <v>2</v>
      </c>
      <c r="B92" s="72" t="s">
        <v>1579</v>
      </c>
      <c r="C92" s="72" t="s">
        <v>2267</v>
      </c>
      <c r="D92" s="93">
        <v>3503.58</v>
      </c>
    </row>
    <row r="93" spans="1:4" ht="12.75" outlineLevel="2">
      <c r="A93" s="72" t="s">
        <v>139</v>
      </c>
      <c r="B93" s="72" t="s">
        <v>1580</v>
      </c>
      <c r="C93" s="72" t="s">
        <v>2233</v>
      </c>
      <c r="D93" s="93">
        <v>578.08</v>
      </c>
    </row>
    <row r="94" spans="1:4" ht="12.75" outlineLevel="2">
      <c r="A94" s="72" t="s">
        <v>1687</v>
      </c>
      <c r="B94" s="72" t="s">
        <v>1582</v>
      </c>
      <c r="C94" s="72" t="s">
        <v>1005</v>
      </c>
      <c r="D94" s="93">
        <v>1688</v>
      </c>
    </row>
    <row r="95" spans="1:4" ht="25.5" outlineLevel="2">
      <c r="A95" s="72" t="s">
        <v>763</v>
      </c>
      <c r="B95" s="72" t="s">
        <v>1582</v>
      </c>
      <c r="C95" s="72" t="s">
        <v>762</v>
      </c>
      <c r="D95" s="93">
        <v>250</v>
      </c>
    </row>
    <row r="96" spans="1:4" ht="12.75" outlineLevel="2">
      <c r="A96" s="72" t="s">
        <v>1630</v>
      </c>
      <c r="B96" s="72" t="s">
        <v>1585</v>
      </c>
      <c r="C96" s="72" t="s">
        <v>110</v>
      </c>
      <c r="D96" s="93">
        <v>934</v>
      </c>
    </row>
    <row r="97" spans="1:4" ht="12.75" outlineLevel="2">
      <c r="A97" s="72" t="s">
        <v>543</v>
      </c>
      <c r="B97" s="72" t="s">
        <v>1586</v>
      </c>
      <c r="C97" s="72" t="s">
        <v>1005</v>
      </c>
      <c r="D97" s="93">
        <v>585.23</v>
      </c>
    </row>
    <row r="98" spans="1:4" ht="12.75" outlineLevel="2">
      <c r="A98" s="72" t="s">
        <v>2376</v>
      </c>
      <c r="B98" s="72" t="s">
        <v>1586</v>
      </c>
      <c r="C98" s="72" t="s">
        <v>110</v>
      </c>
      <c r="D98" s="93">
        <v>650.34</v>
      </c>
    </row>
    <row r="99" spans="1:4" ht="12.75" outlineLevel="2">
      <c r="A99" s="72" t="s">
        <v>206</v>
      </c>
      <c r="B99" s="72" t="s">
        <v>1587</v>
      </c>
      <c r="C99" s="72" t="s">
        <v>207</v>
      </c>
      <c r="D99" s="93">
        <v>278.3</v>
      </c>
    </row>
    <row r="100" spans="1:4" ht="12.75" outlineLevel="2">
      <c r="A100" s="72" t="s">
        <v>801</v>
      </c>
      <c r="B100" s="72" t="s">
        <v>1587</v>
      </c>
      <c r="C100" s="72" t="s">
        <v>802</v>
      </c>
      <c r="D100" s="93">
        <v>139.8</v>
      </c>
    </row>
    <row r="101" spans="1:4" ht="12.75" outlineLevel="2">
      <c r="A101" s="72" t="s">
        <v>2003</v>
      </c>
      <c r="B101" s="72" t="s">
        <v>1588</v>
      </c>
      <c r="C101" s="72" t="s">
        <v>2073</v>
      </c>
      <c r="D101" s="93">
        <v>68.45</v>
      </c>
    </row>
    <row r="102" spans="1:4" ht="12.75" outlineLevel="2">
      <c r="A102" s="72" t="s">
        <v>1958</v>
      </c>
      <c r="B102" s="72" t="s">
        <v>1588</v>
      </c>
      <c r="C102" s="72" t="s">
        <v>1959</v>
      </c>
      <c r="D102" s="93">
        <v>553.49</v>
      </c>
    </row>
    <row r="103" spans="1:4" ht="12.75" outlineLevel="2">
      <c r="A103" s="71" t="s">
        <v>2</v>
      </c>
      <c r="B103" s="71" t="s">
        <v>1577</v>
      </c>
      <c r="C103" s="71" t="s">
        <v>2274</v>
      </c>
      <c r="D103" s="93">
        <v>45.75</v>
      </c>
    </row>
    <row r="104" spans="1:4" ht="12.75" outlineLevel="2">
      <c r="A104" s="71" t="s">
        <v>1267</v>
      </c>
      <c r="B104" s="71" t="s">
        <v>1577</v>
      </c>
      <c r="C104" s="71" t="s">
        <v>1495</v>
      </c>
      <c r="D104" s="93">
        <v>424.32</v>
      </c>
    </row>
    <row r="105" spans="1:5" ht="12.75" outlineLevel="1">
      <c r="A105" s="278" t="s">
        <v>1595</v>
      </c>
      <c r="B105" s="278"/>
      <c r="C105" s="279"/>
      <c r="D105" s="199">
        <f>SUM(D106:D116)</f>
        <v>28273.590000000004</v>
      </c>
      <c r="E105" s="60"/>
    </row>
    <row r="106" spans="1:4" ht="12.75" customHeight="1" outlineLevel="2">
      <c r="A106" s="71" t="s">
        <v>5</v>
      </c>
      <c r="B106" s="71" t="s">
        <v>1577</v>
      </c>
      <c r="C106" s="71" t="s">
        <v>595</v>
      </c>
      <c r="D106" s="93">
        <v>2393.37</v>
      </c>
    </row>
    <row r="107" spans="1:4" ht="15.75" customHeight="1" outlineLevel="2">
      <c r="A107" s="72" t="s">
        <v>64</v>
      </c>
      <c r="B107" s="72" t="s">
        <v>1577</v>
      </c>
      <c r="C107" s="72" t="s">
        <v>2126</v>
      </c>
      <c r="D107" s="93">
        <v>617.5</v>
      </c>
    </row>
    <row r="108" spans="1:4" ht="12.75" outlineLevel="2">
      <c r="A108" s="72" t="s">
        <v>1992</v>
      </c>
      <c r="B108" s="72" t="s">
        <v>1579</v>
      </c>
      <c r="C108" s="72" t="s">
        <v>204</v>
      </c>
      <c r="D108" s="93">
        <v>1005.66</v>
      </c>
    </row>
    <row r="109" spans="1:4" ht="12.75" outlineLevel="2">
      <c r="A109" s="72" t="s">
        <v>1244</v>
      </c>
      <c r="B109" s="72" t="s">
        <v>1580</v>
      </c>
      <c r="C109" s="72" t="s">
        <v>669</v>
      </c>
      <c r="D109" s="93">
        <v>106.84</v>
      </c>
    </row>
    <row r="110" spans="1:4" ht="12.75" outlineLevel="2">
      <c r="A110" s="72" t="s">
        <v>1244</v>
      </c>
      <c r="B110" s="72" t="s">
        <v>1580</v>
      </c>
      <c r="C110" s="72" t="s">
        <v>680</v>
      </c>
      <c r="D110" s="93">
        <v>1209.96</v>
      </c>
    </row>
    <row r="111" spans="1:4" ht="12.75" outlineLevel="2">
      <c r="A111" s="72" t="s">
        <v>150</v>
      </c>
      <c r="B111" s="72" t="s">
        <v>1583</v>
      </c>
      <c r="C111" s="72" t="s">
        <v>151</v>
      </c>
      <c r="D111" s="93">
        <v>13150.29</v>
      </c>
    </row>
    <row r="112" spans="1:4" ht="12.75" outlineLevel="2">
      <c r="A112" s="72" t="s">
        <v>43</v>
      </c>
      <c r="B112" s="72" t="s">
        <v>1583</v>
      </c>
      <c r="C112" s="72" t="s">
        <v>173</v>
      </c>
      <c r="D112" s="93">
        <v>1785.79</v>
      </c>
    </row>
    <row r="113" spans="1:4" ht="12.75" outlineLevel="2">
      <c r="A113" s="72" t="s">
        <v>1883</v>
      </c>
      <c r="B113" s="72" t="s">
        <v>1586</v>
      </c>
      <c r="C113" s="72" t="s">
        <v>1734</v>
      </c>
      <c r="D113" s="93">
        <v>5069.48</v>
      </c>
    </row>
    <row r="114" spans="1:4" ht="12.75" outlineLevel="2">
      <c r="A114" s="72" t="s">
        <v>1181</v>
      </c>
      <c r="B114" s="72" t="s">
        <v>1587</v>
      </c>
      <c r="C114" s="72" t="s">
        <v>1184</v>
      </c>
      <c r="D114" s="93">
        <v>215.82</v>
      </c>
    </row>
    <row r="115" spans="1:4" ht="12.75" outlineLevel="2">
      <c r="A115" s="72" t="s">
        <v>1192</v>
      </c>
      <c r="B115" s="72" t="s">
        <v>1587</v>
      </c>
      <c r="C115" s="72" t="s">
        <v>1198</v>
      </c>
      <c r="D115" s="93">
        <v>143.88</v>
      </c>
    </row>
    <row r="116" spans="1:4" ht="12.75" customHeight="1" outlineLevel="2">
      <c r="A116" s="72" t="s">
        <v>989</v>
      </c>
      <c r="B116" s="72" t="s">
        <v>1588</v>
      </c>
      <c r="C116" s="72" t="s">
        <v>594</v>
      </c>
      <c r="D116" s="93">
        <v>2575</v>
      </c>
    </row>
    <row r="117" spans="1:5" ht="12.75" outlineLevel="1">
      <c r="A117" s="278" t="s">
        <v>1718</v>
      </c>
      <c r="B117" s="278"/>
      <c r="C117" s="279"/>
      <c r="D117" s="199">
        <f>SUM(D118:D123)</f>
        <v>5505.42</v>
      </c>
      <c r="E117" s="60"/>
    </row>
    <row r="118" spans="1:4" ht="10.5" customHeight="1" outlineLevel="2">
      <c r="A118" s="72" t="s">
        <v>2180</v>
      </c>
      <c r="B118" s="72" t="s">
        <v>1578</v>
      </c>
      <c r="C118" s="72" t="s">
        <v>2208</v>
      </c>
      <c r="D118" s="93">
        <v>823.3</v>
      </c>
    </row>
    <row r="119" spans="1:4" ht="12.75" outlineLevel="2">
      <c r="A119" s="72" t="s">
        <v>2</v>
      </c>
      <c r="B119" s="72" t="s">
        <v>57</v>
      </c>
      <c r="C119" s="72" t="s">
        <v>722</v>
      </c>
      <c r="D119" s="93">
        <v>181.1</v>
      </c>
    </row>
    <row r="120" spans="1:4" ht="12.75" outlineLevel="2">
      <c r="A120" s="72" t="s">
        <v>2</v>
      </c>
      <c r="B120" s="72" t="s">
        <v>1581</v>
      </c>
      <c r="C120" s="72" t="s">
        <v>2390</v>
      </c>
      <c r="D120" s="93">
        <v>3128.77</v>
      </c>
    </row>
    <row r="121" spans="1:4" ht="12.75" outlineLevel="2">
      <c r="A121" s="72" t="s">
        <v>2</v>
      </c>
      <c r="B121" s="72" t="s">
        <v>57</v>
      </c>
      <c r="C121" s="72" t="s">
        <v>936</v>
      </c>
      <c r="D121" s="93">
        <v>134.4</v>
      </c>
    </row>
    <row r="122" spans="1:4" ht="12.75" outlineLevel="2">
      <c r="A122" s="72" t="s">
        <v>776</v>
      </c>
      <c r="B122" s="72" t="s">
        <v>1587</v>
      </c>
      <c r="C122" s="72" t="s">
        <v>1551</v>
      </c>
      <c r="D122" s="93">
        <v>449.46</v>
      </c>
    </row>
    <row r="123" spans="1:4" ht="12.75" outlineLevel="2">
      <c r="A123" s="72" t="s">
        <v>907</v>
      </c>
      <c r="B123" s="72" t="s">
        <v>1587</v>
      </c>
      <c r="C123" s="100" t="s">
        <v>908</v>
      </c>
      <c r="D123" s="93">
        <v>788.39</v>
      </c>
    </row>
    <row r="124" spans="1:4" ht="12.75" customHeight="1" outlineLevel="2">
      <c r="A124" s="280" t="s">
        <v>0</v>
      </c>
      <c r="B124" s="275"/>
      <c r="C124" s="281"/>
      <c r="D124" s="199">
        <f>0.1*5935.5*12</f>
        <v>7122.6</v>
      </c>
    </row>
    <row r="125" spans="1:4" ht="14.25" customHeight="1" outlineLevel="2">
      <c r="A125" s="280" t="s">
        <v>1369</v>
      </c>
      <c r="B125" s="275"/>
      <c r="C125" s="281"/>
      <c r="D125" s="199">
        <v>3166.66</v>
      </c>
    </row>
    <row r="126" spans="1:4" ht="15">
      <c r="A126" s="270" t="s">
        <v>59</v>
      </c>
      <c r="B126" s="270"/>
      <c r="C126" s="270"/>
      <c r="D126" s="43">
        <f>1.57*5935.5*12</f>
        <v>111824.82</v>
      </c>
    </row>
    <row r="127" spans="1:4" ht="15">
      <c r="A127" s="270" t="s">
        <v>256</v>
      </c>
      <c r="B127" s="270"/>
      <c r="C127" s="270"/>
      <c r="D127" s="43">
        <f>(D129+D130)*10.3/100</f>
        <v>149653.34736</v>
      </c>
    </row>
    <row r="128" spans="1:5" ht="15">
      <c r="A128" s="272" t="s">
        <v>659</v>
      </c>
      <c r="B128" s="272"/>
      <c r="C128" s="272"/>
      <c r="D128" s="44">
        <f>D127+D126+D21+D3</f>
        <v>1646298.2633599997</v>
      </c>
      <c r="E128" s="57">
        <v>1</v>
      </c>
    </row>
    <row r="129" spans="1:5" ht="15">
      <c r="A129" s="270" t="s">
        <v>258</v>
      </c>
      <c r="B129" s="270"/>
      <c r="C129" s="270"/>
      <c r="D129" s="43">
        <v>1267765.84</v>
      </c>
      <c r="E129" s="57">
        <v>2</v>
      </c>
    </row>
    <row r="130" spans="1:5" ht="15">
      <c r="A130" s="270" t="s">
        <v>259</v>
      </c>
      <c r="B130" s="270"/>
      <c r="C130" s="270"/>
      <c r="D130" s="43">
        <v>185179.28</v>
      </c>
      <c r="E130" s="57">
        <v>3</v>
      </c>
    </row>
    <row r="131" spans="1:5" ht="15">
      <c r="A131" s="270" t="s">
        <v>660</v>
      </c>
      <c r="B131" s="270"/>
      <c r="C131" s="270"/>
      <c r="D131" s="43">
        <v>3991926.06</v>
      </c>
      <c r="E131" s="57">
        <v>4</v>
      </c>
    </row>
    <row r="132" spans="1:5" ht="15">
      <c r="A132" s="270" t="s">
        <v>2340</v>
      </c>
      <c r="B132" s="270"/>
      <c r="C132" s="270"/>
      <c r="D132" s="43">
        <v>3277422.28</v>
      </c>
      <c r="E132" s="57">
        <v>5</v>
      </c>
    </row>
    <row r="133" spans="1:5" ht="15">
      <c r="A133" s="272" t="s">
        <v>2341</v>
      </c>
      <c r="B133" s="272"/>
      <c r="C133" s="272"/>
      <c r="D133" s="44">
        <f>'[2]Комсомольский 2'!$E$158+D128</f>
        <v>4295889.933359999</v>
      </c>
      <c r="E133" s="57">
        <v>6</v>
      </c>
    </row>
    <row r="134" spans="1:5" ht="15">
      <c r="A134" s="270" t="s">
        <v>732</v>
      </c>
      <c r="B134" s="270"/>
      <c r="C134" s="270"/>
      <c r="D134" s="43">
        <v>582329.6</v>
      </c>
      <c r="E134" s="57">
        <v>7</v>
      </c>
    </row>
    <row r="135" spans="1:5" ht="15">
      <c r="A135" s="270" t="s">
        <v>733</v>
      </c>
      <c r="B135" s="270"/>
      <c r="C135" s="270"/>
      <c r="D135" s="43">
        <v>478104.3</v>
      </c>
      <c r="E135" s="57">
        <v>8</v>
      </c>
    </row>
    <row r="136" spans="1:5" ht="15">
      <c r="A136" s="272" t="s">
        <v>734</v>
      </c>
      <c r="B136" s="272"/>
      <c r="C136" s="272"/>
      <c r="D136" s="44">
        <v>660253</v>
      </c>
      <c r="E136" s="57">
        <v>9</v>
      </c>
    </row>
    <row r="137" spans="1:5" ht="15">
      <c r="A137" s="270" t="s">
        <v>260</v>
      </c>
      <c r="B137" s="270"/>
      <c r="C137" s="270"/>
      <c r="D137" s="43">
        <v>1056168.72</v>
      </c>
      <c r="E137" s="57">
        <v>10</v>
      </c>
    </row>
    <row r="138" spans="1:5" ht="15">
      <c r="A138" s="270" t="s">
        <v>735</v>
      </c>
      <c r="B138" s="270"/>
      <c r="C138" s="270"/>
      <c r="D138" s="43">
        <v>154271.83</v>
      </c>
      <c r="E138" s="57">
        <v>11</v>
      </c>
    </row>
    <row r="139" spans="1:5" ht="15">
      <c r="A139" s="272" t="s">
        <v>736</v>
      </c>
      <c r="B139" s="272"/>
      <c r="C139" s="272"/>
      <c r="D139" s="44">
        <v>0</v>
      </c>
      <c r="E139" s="57">
        <v>12</v>
      </c>
    </row>
    <row r="140" spans="1:5" ht="18.75" customHeight="1">
      <c r="A140" s="271" t="s">
        <v>460</v>
      </c>
      <c r="B140" s="271"/>
      <c r="C140" s="271"/>
      <c r="D140" s="45">
        <f>D131-D133</f>
        <v>-303963.87335999915</v>
      </c>
      <c r="E140" s="57">
        <v>13</v>
      </c>
    </row>
    <row r="141" spans="1:5" ht="17.25" customHeight="1">
      <c r="A141" s="271" t="s">
        <v>738</v>
      </c>
      <c r="B141" s="271"/>
      <c r="C141" s="271"/>
      <c r="D141" s="45">
        <f>D134-D136</f>
        <v>-77923.40000000002</v>
      </c>
      <c r="E141" s="57">
        <v>14</v>
      </c>
    </row>
    <row r="142" spans="1:5" ht="27" customHeight="1">
      <c r="A142" s="271" t="s">
        <v>1674</v>
      </c>
      <c r="B142" s="271"/>
      <c r="C142" s="271"/>
      <c r="D142" s="45">
        <f>D132-D133</f>
        <v>-1018467.6533599994</v>
      </c>
      <c r="E142" s="57">
        <v>15</v>
      </c>
    </row>
    <row r="143" ht="12.75">
      <c r="D143" s="75"/>
    </row>
    <row r="144" spans="4:7" ht="12.75">
      <c r="D144" s="75"/>
      <c r="G144" s="12" t="s">
        <v>492</v>
      </c>
    </row>
    <row r="145" spans="4:7" ht="12.75">
      <c r="D145" s="75"/>
      <c r="G145" s="12" t="s">
        <v>493</v>
      </c>
    </row>
    <row r="146" spans="4:7" ht="38.25">
      <c r="D146" s="75"/>
      <c r="G146" s="12" t="s">
        <v>494</v>
      </c>
    </row>
    <row r="147" spans="4:7" ht="12.75">
      <c r="D147" s="75"/>
      <c r="G147" s="12" t="s">
        <v>495</v>
      </c>
    </row>
  </sheetData>
  <sheetProtection/>
  <mergeCells count="35">
    <mergeCell ref="A3:C3"/>
    <mergeCell ref="A4:C4"/>
    <mergeCell ref="A128:C128"/>
    <mergeCell ref="A88:C88"/>
    <mergeCell ref="A89:C89"/>
    <mergeCell ref="A124:C124"/>
    <mergeCell ref="A105:C105"/>
    <mergeCell ref="A117:C117"/>
    <mergeCell ref="A127:C127"/>
    <mergeCell ref="A75:C75"/>
    <mergeCell ref="A142:C142"/>
    <mergeCell ref="A134:C134"/>
    <mergeCell ref="A135:C135"/>
    <mergeCell ref="A136:C136"/>
    <mergeCell ref="A137:C137"/>
    <mergeCell ref="A140:C140"/>
    <mergeCell ref="A139:C139"/>
    <mergeCell ref="A141:C141"/>
    <mergeCell ref="A125:C125"/>
    <mergeCell ref="A46:C46"/>
    <mergeCell ref="A16:C16"/>
    <mergeCell ref="A9:C9"/>
    <mergeCell ref="A14:C14"/>
    <mergeCell ref="A22:C22"/>
    <mergeCell ref="A21:C21"/>
    <mergeCell ref="A1:D1"/>
    <mergeCell ref="A6:C6"/>
    <mergeCell ref="A133:C133"/>
    <mergeCell ref="A138:C138"/>
    <mergeCell ref="A130:C130"/>
    <mergeCell ref="A132:C132"/>
    <mergeCell ref="A131:C131"/>
    <mergeCell ref="A126:C126"/>
    <mergeCell ref="A129:C129"/>
    <mergeCell ref="A67:C67"/>
  </mergeCells>
  <printOptions/>
  <pageMargins left="0.15748031496062992" right="0.15748031496062992" top="0.35433070866141736" bottom="0.2755905511811024" header="0.15748031496062992" footer="0.1574803149606299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5"/>
  <sheetViews>
    <sheetView zoomScalePageLayoutView="0" workbookViewId="0" topLeftCell="A79">
      <selection activeCell="E110" sqref="A1:E110"/>
    </sheetView>
  </sheetViews>
  <sheetFormatPr defaultColWidth="13.421875" defaultRowHeight="12.75" outlineLevelRow="2"/>
  <cols>
    <col min="1" max="1" width="2.8515625" style="1" customWidth="1"/>
    <col min="2" max="2" width="11.8515625" style="1" customWidth="1"/>
    <col min="3" max="3" width="11.28125" style="1" customWidth="1"/>
    <col min="4" max="4" width="72.85156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.75" thickBot="1">
      <c r="A1" s="42"/>
      <c r="B1" s="333" t="s">
        <v>462</v>
      </c>
      <c r="C1" s="334"/>
      <c r="D1" s="334"/>
      <c r="E1" s="335"/>
    </row>
    <row r="2" spans="1:6" ht="30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5">
      <c r="A3" s="91"/>
      <c r="B3" s="308"/>
      <c r="C3" s="308"/>
      <c r="D3" s="155" t="s">
        <v>1575</v>
      </c>
      <c r="E3" s="130">
        <f>E4+E6</f>
        <v>21455.64</v>
      </c>
    </row>
    <row r="4" spans="1:5" ht="13.5" customHeight="1" outlineLevel="1">
      <c r="A4" s="255" t="s">
        <v>1592</v>
      </c>
      <c r="B4" s="256"/>
      <c r="C4" s="256"/>
      <c r="D4" s="257"/>
      <c r="E4" s="105">
        <f>SUM(E5:E5)</f>
        <v>8959.64</v>
      </c>
    </row>
    <row r="5" spans="1:6" ht="15" outlineLevel="2">
      <c r="A5" s="81"/>
      <c r="B5" s="84" t="s">
        <v>844</v>
      </c>
      <c r="C5" s="84" t="s">
        <v>1578</v>
      </c>
      <c r="D5" s="84" t="s">
        <v>845</v>
      </c>
      <c r="E5" s="106">
        <v>8959.64</v>
      </c>
      <c r="F5" s="14"/>
    </row>
    <row r="6" spans="1:5" ht="13.5" customHeight="1" outlineLevel="1">
      <c r="A6" s="255" t="s">
        <v>1599</v>
      </c>
      <c r="B6" s="256"/>
      <c r="C6" s="256"/>
      <c r="D6" s="257"/>
      <c r="E6" s="105">
        <f>SUM(E7:E7)</f>
        <v>12496</v>
      </c>
    </row>
    <row r="7" spans="1:6" ht="15" outlineLevel="2">
      <c r="A7" s="42"/>
      <c r="B7" s="85" t="s">
        <v>1367</v>
      </c>
      <c r="C7" s="85" t="s">
        <v>1577</v>
      </c>
      <c r="D7" s="85" t="s">
        <v>1114</v>
      </c>
      <c r="E7" s="106">
        <v>12496</v>
      </c>
      <c r="F7" s="14"/>
    </row>
    <row r="8" spans="1:5" ht="13.5" customHeight="1">
      <c r="A8" s="91"/>
      <c r="B8" s="308"/>
      <c r="C8" s="308"/>
      <c r="D8" s="155" t="s">
        <v>1600</v>
      </c>
      <c r="E8" s="130">
        <f>E9+E16+E21+E34+E38+E41+E45+E58+E59+E72+E78+E84+E91+E92</f>
        <v>136608.129</v>
      </c>
    </row>
    <row r="9" spans="1:5" ht="14.25" customHeight="1" outlineLevel="1">
      <c r="A9" s="255" t="s">
        <v>1576</v>
      </c>
      <c r="B9" s="256"/>
      <c r="C9" s="256"/>
      <c r="D9" s="257"/>
      <c r="E9" s="105">
        <f>SUM(E10:E15)</f>
        <v>5050.88</v>
      </c>
    </row>
    <row r="10" spans="1:6" ht="30" outlineLevel="2">
      <c r="A10" s="42"/>
      <c r="B10" s="83" t="s">
        <v>872</v>
      </c>
      <c r="C10" s="83" t="s">
        <v>1578</v>
      </c>
      <c r="D10" s="83" t="s">
        <v>2326</v>
      </c>
      <c r="E10" s="106">
        <v>841.8</v>
      </c>
      <c r="F10" s="14"/>
    </row>
    <row r="11" spans="1:6" ht="15" outlineLevel="2">
      <c r="A11" s="42"/>
      <c r="B11" s="83" t="s">
        <v>2</v>
      </c>
      <c r="C11" s="83" t="s">
        <v>1580</v>
      </c>
      <c r="D11" s="83" t="s">
        <v>2277</v>
      </c>
      <c r="E11" s="106">
        <v>21.69</v>
      </c>
      <c r="F11" s="14"/>
    </row>
    <row r="12" spans="1:6" ht="45" outlineLevel="2">
      <c r="A12" s="42"/>
      <c r="B12" s="83" t="s">
        <v>508</v>
      </c>
      <c r="C12" s="83" t="s">
        <v>1582</v>
      </c>
      <c r="D12" s="83" t="s">
        <v>509</v>
      </c>
      <c r="E12" s="106">
        <v>109.31</v>
      </c>
      <c r="F12" s="14"/>
    </row>
    <row r="13" spans="1:6" ht="15" outlineLevel="2">
      <c r="A13" s="42"/>
      <c r="B13" s="83" t="s">
        <v>1695</v>
      </c>
      <c r="C13" s="83" t="s">
        <v>1583</v>
      </c>
      <c r="D13" s="83" t="s">
        <v>1148</v>
      </c>
      <c r="E13" s="106">
        <v>2921</v>
      </c>
      <c r="F13" s="14"/>
    </row>
    <row r="14" spans="1:6" ht="15" outlineLevel="2">
      <c r="A14" s="42"/>
      <c r="B14" s="83" t="s">
        <v>1033</v>
      </c>
      <c r="C14" s="83" t="s">
        <v>1583</v>
      </c>
      <c r="D14" s="83" t="s">
        <v>509</v>
      </c>
      <c r="E14" s="106">
        <v>1076.92</v>
      </c>
      <c r="F14" s="14"/>
    </row>
    <row r="15" spans="1:6" ht="15" outlineLevel="2">
      <c r="A15" s="42"/>
      <c r="B15" s="83" t="s">
        <v>2</v>
      </c>
      <c r="C15" s="83" t="s">
        <v>1583</v>
      </c>
      <c r="D15" s="83" t="s">
        <v>855</v>
      </c>
      <c r="E15" s="106">
        <v>80.16</v>
      </c>
      <c r="F15" s="14"/>
    </row>
    <row r="16" spans="1:5" ht="14.25" customHeight="1" outlineLevel="1">
      <c r="A16" s="255" t="s">
        <v>1589</v>
      </c>
      <c r="B16" s="256"/>
      <c r="C16" s="256"/>
      <c r="D16" s="257"/>
      <c r="E16" s="105">
        <f>SUM(E17:E20)</f>
        <v>3220.81</v>
      </c>
    </row>
    <row r="17" spans="1:6" ht="30" outlineLevel="2">
      <c r="A17" s="42"/>
      <c r="B17" s="82" t="s">
        <v>126</v>
      </c>
      <c r="C17" s="82" t="s">
        <v>1577</v>
      </c>
      <c r="D17" s="82" t="s">
        <v>1458</v>
      </c>
      <c r="E17" s="106">
        <v>424</v>
      </c>
      <c r="F17" s="14"/>
    </row>
    <row r="18" spans="1:6" ht="15" outlineLevel="2">
      <c r="A18" s="42"/>
      <c r="B18" s="83" t="s">
        <v>14</v>
      </c>
      <c r="C18" s="83" t="s">
        <v>1579</v>
      </c>
      <c r="D18" s="83" t="s">
        <v>2170</v>
      </c>
      <c r="E18" s="106">
        <v>2380.04</v>
      </c>
      <c r="F18" s="14"/>
    </row>
    <row r="19" spans="1:6" ht="15" outlineLevel="2">
      <c r="A19" s="42"/>
      <c r="B19" s="83" t="s">
        <v>1489</v>
      </c>
      <c r="C19" s="83" t="s">
        <v>1580</v>
      </c>
      <c r="D19" s="83" t="s">
        <v>1625</v>
      </c>
      <c r="E19" s="106">
        <v>227.37</v>
      </c>
      <c r="F19" s="14"/>
    </row>
    <row r="20" spans="1:6" ht="15" outlineLevel="2">
      <c r="A20" s="42"/>
      <c r="B20" s="83" t="s">
        <v>1702</v>
      </c>
      <c r="C20" s="83" t="s">
        <v>1580</v>
      </c>
      <c r="D20" s="83" t="s">
        <v>148</v>
      </c>
      <c r="E20" s="106">
        <v>189.4</v>
      </c>
      <c r="F20" s="14"/>
    </row>
    <row r="21" spans="1:5" ht="14.25" customHeight="1" outlineLevel="1">
      <c r="A21" s="255" t="s">
        <v>1590</v>
      </c>
      <c r="B21" s="256"/>
      <c r="C21" s="256"/>
      <c r="D21" s="257"/>
      <c r="E21" s="105">
        <f>SUM(E22:E33)</f>
        <v>19117.510000000002</v>
      </c>
    </row>
    <row r="22" spans="1:6" ht="15" outlineLevel="2">
      <c r="A22" s="42"/>
      <c r="B22" s="88" t="s">
        <v>276</v>
      </c>
      <c r="C22" s="82" t="s">
        <v>1577</v>
      </c>
      <c r="D22" s="82" t="s">
        <v>1725</v>
      </c>
      <c r="E22" s="106">
        <v>4278.52</v>
      </c>
      <c r="F22" s="14"/>
    </row>
    <row r="23" spans="1:6" ht="15" outlineLevel="2">
      <c r="A23" s="42"/>
      <c r="B23" s="87" t="s">
        <v>2</v>
      </c>
      <c r="C23" s="83" t="s">
        <v>1577</v>
      </c>
      <c r="D23" s="83" t="s">
        <v>1724</v>
      </c>
      <c r="E23" s="106">
        <v>100.3</v>
      </c>
      <c r="F23" s="14"/>
    </row>
    <row r="24" spans="1:6" ht="30" outlineLevel="2">
      <c r="A24" s="42"/>
      <c r="B24" s="87" t="s">
        <v>2429</v>
      </c>
      <c r="C24" s="83" t="s">
        <v>1578</v>
      </c>
      <c r="D24" s="83" t="s">
        <v>1506</v>
      </c>
      <c r="E24" s="106">
        <v>810.74</v>
      </c>
      <c r="F24" s="14"/>
    </row>
    <row r="25" spans="1:6" ht="15" outlineLevel="2">
      <c r="A25" s="42"/>
      <c r="B25" s="87" t="s">
        <v>1465</v>
      </c>
      <c r="C25" s="83" t="s">
        <v>1578</v>
      </c>
      <c r="D25" s="83" t="s">
        <v>240</v>
      </c>
      <c r="E25" s="106">
        <v>59.42</v>
      </c>
      <c r="F25" s="14"/>
    </row>
    <row r="26" spans="1:6" ht="15" outlineLevel="2">
      <c r="A26" s="42"/>
      <c r="B26" s="87" t="s">
        <v>836</v>
      </c>
      <c r="C26" s="83" t="s">
        <v>1580</v>
      </c>
      <c r="D26" s="83" t="s">
        <v>840</v>
      </c>
      <c r="E26" s="106">
        <v>163.5</v>
      </c>
      <c r="F26" s="14"/>
    </row>
    <row r="27" spans="1:6" ht="15" outlineLevel="2">
      <c r="A27" s="42"/>
      <c r="B27" s="87" t="s">
        <v>180</v>
      </c>
      <c r="C27" s="83" t="s">
        <v>1580</v>
      </c>
      <c r="D27" s="83" t="s">
        <v>1412</v>
      </c>
      <c r="E27" s="106">
        <v>706.03</v>
      </c>
      <c r="F27" s="14"/>
    </row>
    <row r="28" spans="1:6" ht="15" outlineLevel="2">
      <c r="A28" s="42"/>
      <c r="B28" s="87" t="s">
        <v>2</v>
      </c>
      <c r="C28" s="83" t="s">
        <v>1581</v>
      </c>
      <c r="D28" s="83" t="s">
        <v>939</v>
      </c>
      <c r="E28" s="106">
        <v>165.51</v>
      </c>
      <c r="F28" s="14"/>
    </row>
    <row r="29" spans="1:6" ht="15" outlineLevel="2">
      <c r="A29" s="42"/>
      <c r="B29" s="87" t="s">
        <v>33</v>
      </c>
      <c r="C29" s="83" t="s">
        <v>1584</v>
      </c>
      <c r="D29" s="83" t="s">
        <v>703</v>
      </c>
      <c r="E29" s="106">
        <v>1995.6</v>
      </c>
      <c r="F29" s="14"/>
    </row>
    <row r="30" spans="1:6" ht="16.5" customHeight="1" outlineLevel="2">
      <c r="A30" s="42"/>
      <c r="B30" s="87" t="s">
        <v>197</v>
      </c>
      <c r="C30" s="83" t="s">
        <v>1584</v>
      </c>
      <c r="D30" s="83" t="s">
        <v>760</v>
      </c>
      <c r="E30" s="106">
        <v>5627.71</v>
      </c>
      <c r="F30" s="14"/>
    </row>
    <row r="31" spans="1:6" ht="15" outlineLevel="2">
      <c r="A31" s="42"/>
      <c r="B31" s="87" t="s">
        <v>1533</v>
      </c>
      <c r="C31" s="83" t="s">
        <v>1585</v>
      </c>
      <c r="D31" s="83" t="s">
        <v>1387</v>
      </c>
      <c r="E31" s="106">
        <v>3694</v>
      </c>
      <c r="F31" s="14"/>
    </row>
    <row r="32" spans="1:6" ht="30" outlineLevel="2">
      <c r="A32" s="42"/>
      <c r="B32" s="87" t="s">
        <v>192</v>
      </c>
      <c r="C32" s="83" t="s">
        <v>1586</v>
      </c>
      <c r="D32" s="83" t="s">
        <v>783</v>
      </c>
      <c r="E32" s="106">
        <v>1470.65</v>
      </c>
      <c r="F32" s="14"/>
    </row>
    <row r="33" spans="1:6" ht="15" outlineLevel="2">
      <c r="A33" s="42"/>
      <c r="B33" s="87" t="s">
        <v>1199</v>
      </c>
      <c r="C33" s="83" t="s">
        <v>1587</v>
      </c>
      <c r="D33" s="83" t="s">
        <v>1179</v>
      </c>
      <c r="E33" s="106">
        <v>45.53</v>
      </c>
      <c r="F33" s="14"/>
    </row>
    <row r="34" spans="1:5" ht="12.75" customHeight="1" outlineLevel="1">
      <c r="A34" s="255" t="s">
        <v>1591</v>
      </c>
      <c r="B34" s="256"/>
      <c r="C34" s="256"/>
      <c r="D34" s="257"/>
      <c r="E34" s="105">
        <f>SUM(E35:E37)</f>
        <v>4193.35</v>
      </c>
    </row>
    <row r="35" spans="1:6" ht="15" outlineLevel="2">
      <c r="A35" s="42"/>
      <c r="B35" s="87" t="s">
        <v>1078</v>
      </c>
      <c r="C35" s="83" t="s">
        <v>1583</v>
      </c>
      <c r="D35" s="83" t="s">
        <v>319</v>
      </c>
      <c r="E35" s="106">
        <v>906.18</v>
      </c>
      <c r="F35" s="14"/>
    </row>
    <row r="36" spans="1:6" ht="15" outlineLevel="2">
      <c r="A36" s="42"/>
      <c r="B36" s="87" t="s">
        <v>524</v>
      </c>
      <c r="C36" s="83" t="s">
        <v>1584</v>
      </c>
      <c r="D36" s="83" t="s">
        <v>2441</v>
      </c>
      <c r="E36" s="106">
        <v>794.87</v>
      </c>
      <c r="F36" s="14"/>
    </row>
    <row r="37" spans="1:6" ht="15" outlineLevel="2">
      <c r="A37" s="42"/>
      <c r="B37" s="87" t="s">
        <v>1861</v>
      </c>
      <c r="C37" s="83" t="s">
        <v>1586</v>
      </c>
      <c r="D37" s="83" t="s">
        <v>1862</v>
      </c>
      <c r="E37" s="106">
        <v>2492.3</v>
      </c>
      <c r="F37" s="14"/>
    </row>
    <row r="38" spans="1:5" ht="13.5" customHeight="1" outlineLevel="1">
      <c r="A38" s="255" t="s">
        <v>1594</v>
      </c>
      <c r="B38" s="256"/>
      <c r="C38" s="256"/>
      <c r="D38" s="257"/>
      <c r="E38" s="105">
        <f>SUM(E39:E40)</f>
        <v>8506.349</v>
      </c>
    </row>
    <row r="39" spans="1:6" ht="15" outlineLevel="2">
      <c r="A39" s="141"/>
      <c r="B39" s="88" t="s">
        <v>272</v>
      </c>
      <c r="C39" s="82" t="s">
        <v>1577</v>
      </c>
      <c r="D39" s="82" t="s">
        <v>273</v>
      </c>
      <c r="E39" s="106">
        <v>3.769</v>
      </c>
      <c r="F39" s="14"/>
    </row>
    <row r="40" spans="1:6" ht="15" outlineLevel="2">
      <c r="A40" s="42"/>
      <c r="B40" s="87" t="s">
        <v>1980</v>
      </c>
      <c r="C40" s="83" t="s">
        <v>1585</v>
      </c>
      <c r="D40" s="83" t="s">
        <v>1643</v>
      </c>
      <c r="E40" s="106">
        <v>8502.58</v>
      </c>
      <c r="F40" s="14"/>
    </row>
    <row r="41" spans="1:5" ht="12.75" customHeight="1" outlineLevel="1">
      <c r="A41" s="255" t="s">
        <v>1599</v>
      </c>
      <c r="B41" s="256"/>
      <c r="C41" s="256"/>
      <c r="D41" s="257"/>
      <c r="E41" s="105">
        <f>SUM(E42:E44)</f>
        <v>2407.8199999999997</v>
      </c>
    </row>
    <row r="42" spans="1:6" ht="15" outlineLevel="2">
      <c r="A42" s="42"/>
      <c r="B42" s="83" t="s">
        <v>54</v>
      </c>
      <c r="C42" s="83" t="s">
        <v>1584</v>
      </c>
      <c r="D42" s="83" t="s">
        <v>2448</v>
      </c>
      <c r="E42" s="106">
        <v>1292</v>
      </c>
      <c r="F42" s="14"/>
    </row>
    <row r="43" spans="1:6" ht="15" outlineLevel="2">
      <c r="A43" s="42"/>
      <c r="B43" s="83" t="s">
        <v>1647</v>
      </c>
      <c r="C43" s="83" t="s">
        <v>1585</v>
      </c>
      <c r="D43" s="83" t="s">
        <v>1648</v>
      </c>
      <c r="E43" s="106">
        <v>1099.12</v>
      </c>
      <c r="F43" s="14"/>
    </row>
    <row r="44" spans="1:6" ht="15" outlineLevel="2">
      <c r="A44" s="42"/>
      <c r="B44" s="83" t="s">
        <v>1341</v>
      </c>
      <c r="C44" s="83" t="s">
        <v>1586</v>
      </c>
      <c r="D44" s="83" t="s">
        <v>1342</v>
      </c>
      <c r="E44" s="106">
        <v>16.7</v>
      </c>
      <c r="F44" s="14"/>
    </row>
    <row r="45" spans="1:5" ht="13.5" customHeight="1" outlineLevel="1">
      <c r="A45" s="255" t="s">
        <v>1713</v>
      </c>
      <c r="B45" s="256"/>
      <c r="C45" s="256"/>
      <c r="D45" s="257"/>
      <c r="E45" s="105">
        <f>SUM(E46:E57)</f>
        <v>42742.33999999999</v>
      </c>
    </row>
    <row r="46" spans="1:6" ht="15" outlineLevel="2">
      <c r="A46" s="42"/>
      <c r="B46" s="82"/>
      <c r="C46" s="82" t="s">
        <v>1577</v>
      </c>
      <c r="D46" s="82" t="s">
        <v>1496</v>
      </c>
      <c r="E46" s="106">
        <v>3649.74</v>
      </c>
      <c r="F46" s="14"/>
    </row>
    <row r="47" spans="1:6" ht="15" outlineLevel="2">
      <c r="A47" s="42"/>
      <c r="B47" s="83"/>
      <c r="C47" s="83" t="s">
        <v>1578</v>
      </c>
      <c r="D47" s="83" t="s">
        <v>1496</v>
      </c>
      <c r="E47" s="106">
        <v>3649.74</v>
      </c>
      <c r="F47" s="14"/>
    </row>
    <row r="48" spans="1:6" ht="15" outlineLevel="2">
      <c r="A48" s="42"/>
      <c r="B48" s="83"/>
      <c r="C48" s="83" t="s">
        <v>1579</v>
      </c>
      <c r="D48" s="83" t="s">
        <v>1496</v>
      </c>
      <c r="E48" s="106">
        <v>3649.74</v>
      </c>
      <c r="F48" s="14"/>
    </row>
    <row r="49" spans="1:6" ht="15" outlineLevel="2">
      <c r="A49" s="42"/>
      <c r="B49" s="83"/>
      <c r="C49" s="83" t="s">
        <v>1580</v>
      </c>
      <c r="D49" s="83" t="s">
        <v>1496</v>
      </c>
      <c r="E49" s="106">
        <v>3649.74</v>
      </c>
      <c r="F49" s="14"/>
    </row>
    <row r="50" spans="1:6" ht="15" outlineLevel="2">
      <c r="A50" s="42"/>
      <c r="B50" s="83"/>
      <c r="C50" s="83" t="s">
        <v>1581</v>
      </c>
      <c r="D50" s="83" t="s">
        <v>1496</v>
      </c>
      <c r="E50" s="106">
        <v>3222.32</v>
      </c>
      <c r="F50" s="14"/>
    </row>
    <row r="51" spans="1:6" ht="15" outlineLevel="2">
      <c r="A51" s="42"/>
      <c r="B51" s="83"/>
      <c r="C51" s="83" t="s">
        <v>1582</v>
      </c>
      <c r="D51" s="83" t="s">
        <v>1496</v>
      </c>
      <c r="E51" s="106">
        <v>3492.96</v>
      </c>
      <c r="F51" s="14"/>
    </row>
    <row r="52" spans="1:6" ht="15" outlineLevel="2">
      <c r="A52" s="42"/>
      <c r="B52" s="83"/>
      <c r="C52" s="83" t="s">
        <v>1583</v>
      </c>
      <c r="D52" s="83" t="s">
        <v>1496</v>
      </c>
      <c r="E52" s="106">
        <v>3492.96</v>
      </c>
      <c r="F52" s="14"/>
    </row>
    <row r="53" spans="1:6" ht="15" outlineLevel="2">
      <c r="A53" s="42"/>
      <c r="B53" s="83"/>
      <c r="C53" s="83" t="s">
        <v>1584</v>
      </c>
      <c r="D53" s="83" t="s">
        <v>1496</v>
      </c>
      <c r="E53" s="106">
        <v>3492.96</v>
      </c>
      <c r="F53" s="14"/>
    </row>
    <row r="54" spans="1:6" ht="15" outlineLevel="2">
      <c r="A54" s="42"/>
      <c r="B54" s="83"/>
      <c r="C54" s="83" t="s">
        <v>1585</v>
      </c>
      <c r="D54" s="83" t="s">
        <v>1496</v>
      </c>
      <c r="E54" s="106">
        <v>3492.96</v>
      </c>
      <c r="F54" s="14"/>
    </row>
    <row r="55" spans="1:6" ht="15" outlineLevel="2">
      <c r="A55" s="42"/>
      <c r="B55" s="83"/>
      <c r="C55" s="83" t="s">
        <v>1586</v>
      </c>
      <c r="D55" s="83" t="s">
        <v>1496</v>
      </c>
      <c r="E55" s="106">
        <v>3649.74</v>
      </c>
      <c r="F55" s="14"/>
    </row>
    <row r="56" spans="1:6" ht="15" outlineLevel="2">
      <c r="A56" s="42"/>
      <c r="B56" s="83"/>
      <c r="C56" s="83" t="s">
        <v>1587</v>
      </c>
      <c r="D56" s="83" t="s">
        <v>1496</v>
      </c>
      <c r="E56" s="106">
        <v>3649.74</v>
      </c>
      <c r="F56" s="14"/>
    </row>
    <row r="57" spans="1:6" ht="15" outlineLevel="2">
      <c r="A57" s="42"/>
      <c r="B57" s="89"/>
      <c r="C57" s="83" t="s">
        <v>1588</v>
      </c>
      <c r="D57" s="83" t="s">
        <v>1496</v>
      </c>
      <c r="E57" s="106">
        <v>3649.74</v>
      </c>
      <c r="F57" s="14"/>
    </row>
    <row r="58" spans="1:5" ht="13.5" customHeight="1" outlineLevel="1">
      <c r="A58" s="255" t="s">
        <v>1714</v>
      </c>
      <c r="B58" s="256"/>
      <c r="C58" s="256"/>
      <c r="D58" s="257"/>
      <c r="E58" s="105">
        <f>1.46*1031*12</f>
        <v>18063.12</v>
      </c>
    </row>
    <row r="59" spans="1:5" ht="14.25" customHeight="1" outlineLevel="1">
      <c r="A59" s="255" t="s">
        <v>1715</v>
      </c>
      <c r="B59" s="256"/>
      <c r="C59" s="256"/>
      <c r="D59" s="257"/>
      <c r="E59" s="105">
        <f>SUM(E60:E71)</f>
        <v>5952.900000000001</v>
      </c>
    </row>
    <row r="60" spans="1:6" ht="18.75" customHeight="1" outlineLevel="2">
      <c r="A60" s="42"/>
      <c r="B60" s="83" t="s">
        <v>1468</v>
      </c>
      <c r="C60" s="83" t="s">
        <v>1578</v>
      </c>
      <c r="D60" s="83" t="s">
        <v>88</v>
      </c>
      <c r="E60" s="106">
        <v>1007</v>
      </c>
      <c r="F60" s="14"/>
    </row>
    <row r="61" spans="1:6" ht="15" outlineLevel="2">
      <c r="A61" s="42"/>
      <c r="B61" s="83" t="s">
        <v>2</v>
      </c>
      <c r="C61" s="83" t="s">
        <v>1578</v>
      </c>
      <c r="D61" s="83" t="s">
        <v>1495</v>
      </c>
      <c r="E61" s="106">
        <v>106.08</v>
      </c>
      <c r="F61" s="14"/>
    </row>
    <row r="62" spans="1:6" ht="15" outlineLevel="2">
      <c r="A62" s="42"/>
      <c r="B62" s="83" t="s">
        <v>1969</v>
      </c>
      <c r="C62" s="83" t="s">
        <v>1579</v>
      </c>
      <c r="D62" s="83" t="s">
        <v>2233</v>
      </c>
      <c r="E62" s="106">
        <v>319.17</v>
      </c>
      <c r="F62" s="14"/>
    </row>
    <row r="63" spans="1:6" ht="15" outlineLevel="2">
      <c r="A63" s="42"/>
      <c r="B63" s="83" t="s">
        <v>139</v>
      </c>
      <c r="C63" s="83" t="s">
        <v>1580</v>
      </c>
      <c r="D63" s="83" t="s">
        <v>2233</v>
      </c>
      <c r="E63" s="106">
        <v>578.08</v>
      </c>
      <c r="F63" s="14"/>
    </row>
    <row r="64" spans="1:6" ht="15" outlineLevel="2">
      <c r="A64" s="42"/>
      <c r="B64" s="83" t="s">
        <v>53</v>
      </c>
      <c r="C64" s="83" t="s">
        <v>1583</v>
      </c>
      <c r="D64" s="83" t="s">
        <v>110</v>
      </c>
      <c r="E64" s="106">
        <v>1186.46</v>
      </c>
      <c r="F64" s="14"/>
    </row>
    <row r="65" spans="1:6" ht="15" outlineLevel="2">
      <c r="A65" s="42"/>
      <c r="B65" s="83" t="s">
        <v>1033</v>
      </c>
      <c r="C65" s="83" t="s">
        <v>1584</v>
      </c>
      <c r="D65" s="83" t="s">
        <v>762</v>
      </c>
      <c r="E65" s="106">
        <v>621.47</v>
      </c>
      <c r="F65" s="14"/>
    </row>
    <row r="66" spans="1:6" ht="15" outlineLevel="2">
      <c r="A66" s="42"/>
      <c r="B66" s="83" t="s">
        <v>537</v>
      </c>
      <c r="C66" s="83" t="s">
        <v>1586</v>
      </c>
      <c r="D66" s="83" t="s">
        <v>110</v>
      </c>
      <c r="E66" s="106">
        <v>1063.13</v>
      </c>
      <c r="F66" s="14"/>
    </row>
    <row r="67" spans="1:6" ht="15" outlineLevel="2">
      <c r="A67" s="42"/>
      <c r="B67" s="83" t="s">
        <v>573</v>
      </c>
      <c r="C67" s="83" t="s">
        <v>1586</v>
      </c>
      <c r="D67" s="83" t="s">
        <v>1005</v>
      </c>
      <c r="E67" s="106">
        <v>198</v>
      </c>
      <c r="F67" s="14"/>
    </row>
    <row r="68" spans="1:6" ht="15" outlineLevel="2">
      <c r="A68" s="42"/>
      <c r="B68" s="83" t="s">
        <v>206</v>
      </c>
      <c r="C68" s="83" t="s">
        <v>1587</v>
      </c>
      <c r="D68" s="83" t="s">
        <v>207</v>
      </c>
      <c r="E68" s="106">
        <v>139.2</v>
      </c>
      <c r="F68" s="14"/>
    </row>
    <row r="69" spans="1:6" ht="15" outlineLevel="2">
      <c r="A69" s="42"/>
      <c r="B69" s="83" t="s">
        <v>1286</v>
      </c>
      <c r="C69" s="83" t="s">
        <v>1588</v>
      </c>
      <c r="D69" s="83" t="s">
        <v>1290</v>
      </c>
      <c r="E69" s="106">
        <v>49.6</v>
      </c>
      <c r="F69" s="14"/>
    </row>
    <row r="70" spans="1:6" ht="15" outlineLevel="2">
      <c r="A70" s="42"/>
      <c r="B70" s="83" t="s">
        <v>1958</v>
      </c>
      <c r="C70" s="83" t="s">
        <v>1588</v>
      </c>
      <c r="D70" s="83" t="s">
        <v>1960</v>
      </c>
      <c r="E70" s="106">
        <v>368.11</v>
      </c>
      <c r="F70" s="14"/>
    </row>
    <row r="71" spans="1:6" ht="15" outlineLevel="2">
      <c r="A71" s="42"/>
      <c r="B71" s="154" t="s">
        <v>1899</v>
      </c>
      <c r="C71" s="83" t="s">
        <v>1588</v>
      </c>
      <c r="D71" s="83" t="s">
        <v>1005</v>
      </c>
      <c r="E71" s="106">
        <v>316.6</v>
      </c>
      <c r="F71" s="14"/>
    </row>
    <row r="72" spans="1:5" ht="13.5" customHeight="1" outlineLevel="1">
      <c r="A72" s="255" t="s">
        <v>1716</v>
      </c>
      <c r="B72" s="256"/>
      <c r="C72" s="256"/>
      <c r="D72" s="257"/>
      <c r="E72" s="105">
        <f>SUM(E73:E77)</f>
        <v>7585.98</v>
      </c>
    </row>
    <row r="73" spans="1:6" ht="15" outlineLevel="2">
      <c r="A73" s="42"/>
      <c r="B73" s="83" t="s">
        <v>232</v>
      </c>
      <c r="C73" s="83" t="s">
        <v>1579</v>
      </c>
      <c r="D73" s="83" t="s">
        <v>233</v>
      </c>
      <c r="E73" s="106">
        <v>1408.07</v>
      </c>
      <c r="F73" s="14"/>
    </row>
    <row r="74" spans="1:6" ht="15" outlineLevel="2">
      <c r="A74" s="42"/>
      <c r="B74" s="83" t="s">
        <v>234</v>
      </c>
      <c r="C74" s="83" t="s">
        <v>1579</v>
      </c>
      <c r="D74" s="83" t="s">
        <v>233</v>
      </c>
      <c r="E74" s="106">
        <v>1624.3</v>
      </c>
      <c r="F74" s="14"/>
    </row>
    <row r="75" spans="1:6" ht="15" outlineLevel="2">
      <c r="A75" s="42"/>
      <c r="B75" s="83" t="s">
        <v>1024</v>
      </c>
      <c r="C75" s="83" t="s">
        <v>1580</v>
      </c>
      <c r="D75" s="83" t="s">
        <v>233</v>
      </c>
      <c r="E75" s="106">
        <v>1363.32</v>
      </c>
      <c r="F75" s="14"/>
    </row>
    <row r="76" spans="1:6" ht="15" outlineLevel="2">
      <c r="A76" s="42"/>
      <c r="B76" s="83" t="s">
        <v>1025</v>
      </c>
      <c r="C76" s="83" t="s">
        <v>1580</v>
      </c>
      <c r="D76" s="83" t="s">
        <v>233</v>
      </c>
      <c r="E76" s="106">
        <v>2734.14</v>
      </c>
      <c r="F76" s="14"/>
    </row>
    <row r="77" spans="1:6" ht="15" outlineLevel="2">
      <c r="A77" s="42"/>
      <c r="B77" s="83" t="s">
        <v>55</v>
      </c>
      <c r="C77" s="83" t="s">
        <v>1584</v>
      </c>
      <c r="D77" s="83" t="s">
        <v>933</v>
      </c>
      <c r="E77" s="106">
        <v>456.15</v>
      </c>
      <c r="F77" s="14"/>
    </row>
    <row r="78" spans="1:5" ht="14.25" customHeight="1" outlineLevel="1">
      <c r="A78" s="255" t="s">
        <v>1595</v>
      </c>
      <c r="B78" s="256"/>
      <c r="C78" s="256"/>
      <c r="D78" s="257"/>
      <c r="E78" s="105">
        <f>SUM(E79:E83)</f>
        <v>13469.240000000002</v>
      </c>
    </row>
    <row r="79" spans="1:6" ht="15" outlineLevel="2">
      <c r="A79" s="42"/>
      <c r="B79" s="82" t="s">
        <v>2</v>
      </c>
      <c r="C79" s="82" t="s">
        <v>1577</v>
      </c>
      <c r="D79" s="82" t="s">
        <v>1723</v>
      </c>
      <c r="E79" s="106">
        <v>133.75</v>
      </c>
      <c r="F79" s="14"/>
    </row>
    <row r="80" spans="1:6" ht="15" outlineLevel="2">
      <c r="A80" s="42"/>
      <c r="B80" s="83" t="s">
        <v>15</v>
      </c>
      <c r="C80" s="83" t="s">
        <v>1579</v>
      </c>
      <c r="D80" s="83" t="s">
        <v>1565</v>
      </c>
      <c r="E80" s="106">
        <v>566.76</v>
      </c>
      <c r="F80" s="14"/>
    </row>
    <row r="81" spans="1:6" ht="15" outlineLevel="2">
      <c r="A81" s="42"/>
      <c r="B81" s="83" t="s">
        <v>1244</v>
      </c>
      <c r="C81" s="83" t="s">
        <v>1580</v>
      </c>
      <c r="D81" s="83" t="s">
        <v>679</v>
      </c>
      <c r="E81" s="106">
        <v>241.44</v>
      </c>
      <c r="F81" s="14"/>
    </row>
    <row r="82" spans="1:6" ht="15" outlineLevel="2">
      <c r="A82" s="42"/>
      <c r="B82" s="83" t="s">
        <v>566</v>
      </c>
      <c r="C82" s="83" t="s">
        <v>1586</v>
      </c>
      <c r="D82" s="83" t="s">
        <v>565</v>
      </c>
      <c r="E82" s="106">
        <v>11029.2</v>
      </c>
      <c r="F82" s="14"/>
    </row>
    <row r="83" spans="1:6" ht="15" outlineLevel="2">
      <c r="A83" s="42"/>
      <c r="B83" s="83" t="s">
        <v>995</v>
      </c>
      <c r="C83" s="83" t="s">
        <v>1588</v>
      </c>
      <c r="D83" s="83" t="s">
        <v>174</v>
      </c>
      <c r="E83" s="106">
        <v>1498.09</v>
      </c>
      <c r="F83" s="14"/>
    </row>
    <row r="84" spans="1:5" ht="14.25" customHeight="1" outlineLevel="1">
      <c r="A84" s="255" t="s">
        <v>1718</v>
      </c>
      <c r="B84" s="256"/>
      <c r="C84" s="256"/>
      <c r="D84" s="257"/>
      <c r="E84" s="105">
        <f>SUM(E85:E90)</f>
        <v>1893.9699999999998</v>
      </c>
    </row>
    <row r="85" spans="1:6" ht="15" outlineLevel="2">
      <c r="A85" s="42"/>
      <c r="B85" s="82" t="s">
        <v>83</v>
      </c>
      <c r="C85" s="82" t="s">
        <v>1577</v>
      </c>
      <c r="D85" s="82" t="s">
        <v>1919</v>
      </c>
      <c r="E85" s="106">
        <v>658.9</v>
      </c>
      <c r="F85" s="14"/>
    </row>
    <row r="86" spans="1:6" ht="15" outlineLevel="2">
      <c r="A86" s="42"/>
      <c r="B86" s="83" t="s">
        <v>2</v>
      </c>
      <c r="C86" s="83" t="s">
        <v>1577</v>
      </c>
      <c r="D86" s="83" t="s">
        <v>1722</v>
      </c>
      <c r="E86" s="106">
        <v>33.44</v>
      </c>
      <c r="F86" s="14"/>
    </row>
    <row r="87" spans="1:6" ht="15" outlineLevel="2">
      <c r="A87" s="42"/>
      <c r="B87" s="83" t="s">
        <v>2</v>
      </c>
      <c r="C87" s="83" t="s">
        <v>1577</v>
      </c>
      <c r="D87" s="83" t="s">
        <v>1898</v>
      </c>
      <c r="E87" s="106">
        <v>530.88</v>
      </c>
      <c r="F87" s="14"/>
    </row>
    <row r="88" spans="1:6" ht="15" outlineLevel="2">
      <c r="A88" s="42"/>
      <c r="B88" s="83" t="s">
        <v>2</v>
      </c>
      <c r="C88" s="83" t="s">
        <v>57</v>
      </c>
      <c r="D88" s="83" t="s">
        <v>717</v>
      </c>
      <c r="E88" s="106">
        <v>33.8</v>
      </c>
      <c r="F88" s="14"/>
    </row>
    <row r="89" spans="1:6" ht="15" outlineLevel="2">
      <c r="A89" s="42"/>
      <c r="B89" s="83" t="s">
        <v>2</v>
      </c>
      <c r="C89" s="83" t="s">
        <v>1581</v>
      </c>
      <c r="D89" s="83" t="s">
        <v>2390</v>
      </c>
      <c r="E89" s="106">
        <v>502.55</v>
      </c>
      <c r="F89" s="14"/>
    </row>
    <row r="90" spans="1:6" ht="15" outlineLevel="2">
      <c r="A90" s="42"/>
      <c r="B90" s="84" t="s">
        <v>2</v>
      </c>
      <c r="C90" s="84" t="s">
        <v>57</v>
      </c>
      <c r="D90" s="84" t="s">
        <v>936</v>
      </c>
      <c r="E90" s="106">
        <v>134.4</v>
      </c>
      <c r="F90" s="14"/>
    </row>
    <row r="91" spans="1:6" ht="12.75" customHeight="1" outlineLevel="2">
      <c r="A91" s="255" t="s">
        <v>0</v>
      </c>
      <c r="B91" s="256"/>
      <c r="C91" s="256"/>
      <c r="D91" s="257"/>
      <c r="E91" s="105">
        <f>0.1*1031*12</f>
        <v>1237.2</v>
      </c>
      <c r="F91" s="14"/>
    </row>
    <row r="92" spans="1:6" ht="13.5" customHeight="1" outlineLevel="2">
      <c r="A92" s="255" t="s">
        <v>1369</v>
      </c>
      <c r="B92" s="256"/>
      <c r="C92" s="256"/>
      <c r="D92" s="257"/>
      <c r="E92" s="105">
        <v>3166.66</v>
      </c>
      <c r="F92" s="14"/>
    </row>
    <row r="93" spans="1:6" ht="15">
      <c r="A93" s="42"/>
      <c r="B93" s="273" t="s">
        <v>255</v>
      </c>
      <c r="C93" s="273"/>
      <c r="D93" s="273"/>
      <c r="E93" s="43">
        <f>0.94*1031*12</f>
        <v>11629.68</v>
      </c>
      <c r="F93" s="26"/>
    </row>
    <row r="94" spans="1:6" ht="15">
      <c r="A94" s="42"/>
      <c r="B94" s="270" t="s">
        <v>59</v>
      </c>
      <c r="C94" s="270"/>
      <c r="D94" s="270"/>
      <c r="E94" s="43">
        <f>1.57*1031*12</f>
        <v>19424.04</v>
      </c>
      <c r="F94" s="14"/>
    </row>
    <row r="95" spans="1:6" ht="15">
      <c r="A95" s="42"/>
      <c r="B95" s="270" t="s">
        <v>256</v>
      </c>
      <c r="C95" s="270"/>
      <c r="D95" s="270"/>
      <c r="E95" s="43">
        <f>10.3*(E97+E98)/100</f>
        <v>27136.912510000002</v>
      </c>
      <c r="F95" s="14"/>
    </row>
    <row r="96" spans="1:5" ht="15">
      <c r="A96" s="42">
        <v>1</v>
      </c>
      <c r="B96" s="272" t="s">
        <v>659</v>
      </c>
      <c r="C96" s="272"/>
      <c r="D96" s="272"/>
      <c r="E96" s="44">
        <f>E95+E94+E93+E8+E3</f>
        <v>216254.40151</v>
      </c>
    </row>
    <row r="97" spans="1:6" ht="15">
      <c r="A97" s="42">
        <v>2</v>
      </c>
      <c r="B97" s="270" t="s">
        <v>258</v>
      </c>
      <c r="C97" s="270"/>
      <c r="D97" s="270"/>
      <c r="E97" s="43">
        <v>231530.65</v>
      </c>
      <c r="F97" s="14"/>
    </row>
    <row r="98" spans="1:5" ht="15">
      <c r="A98" s="42">
        <v>3</v>
      </c>
      <c r="B98" s="270" t="s">
        <v>259</v>
      </c>
      <c r="C98" s="270"/>
      <c r="D98" s="270"/>
      <c r="E98" s="43">
        <v>31934.52</v>
      </c>
    </row>
    <row r="99" spans="1:5" ht="15">
      <c r="A99" s="42">
        <v>4</v>
      </c>
      <c r="B99" s="270" t="s">
        <v>660</v>
      </c>
      <c r="C99" s="270"/>
      <c r="D99" s="270"/>
      <c r="E99" s="43">
        <v>726201.19</v>
      </c>
    </row>
    <row r="100" spans="1:5" ht="15">
      <c r="A100" s="42">
        <v>5</v>
      </c>
      <c r="B100" s="270" t="s">
        <v>2340</v>
      </c>
      <c r="C100" s="270"/>
      <c r="D100" s="270"/>
      <c r="E100" s="43">
        <v>627007.01</v>
      </c>
    </row>
    <row r="101" spans="1:5" ht="15">
      <c r="A101" s="42">
        <v>6</v>
      </c>
      <c r="B101" s="272" t="s">
        <v>2341</v>
      </c>
      <c r="C101" s="272"/>
      <c r="D101" s="272"/>
      <c r="E101" s="44">
        <f>'[5]Мира 8'!$E$78+E96</f>
        <v>858894.55151</v>
      </c>
    </row>
    <row r="102" spans="1:5" ht="15">
      <c r="A102" s="42">
        <v>7</v>
      </c>
      <c r="B102" s="270" t="s">
        <v>732</v>
      </c>
      <c r="C102" s="270"/>
      <c r="D102" s="270"/>
      <c r="E102" s="43">
        <v>100476</v>
      </c>
    </row>
    <row r="103" spans="1:5" ht="15">
      <c r="A103" s="42">
        <v>8</v>
      </c>
      <c r="B103" s="270" t="s">
        <v>733</v>
      </c>
      <c r="C103" s="270"/>
      <c r="D103" s="270"/>
      <c r="E103" s="43">
        <v>86757.86</v>
      </c>
    </row>
    <row r="104" spans="1:5" ht="15">
      <c r="A104" s="42">
        <v>9</v>
      </c>
      <c r="B104" s="272" t="s">
        <v>734</v>
      </c>
      <c r="C104" s="272"/>
      <c r="D104" s="272"/>
      <c r="E104" s="44">
        <f>'[5]Комсомольский 36'!$E$83</f>
        <v>367783</v>
      </c>
    </row>
    <row r="105" spans="1:5" ht="15">
      <c r="A105" s="42">
        <v>10</v>
      </c>
      <c r="B105" s="270" t="s">
        <v>260</v>
      </c>
      <c r="C105" s="270"/>
      <c r="D105" s="270"/>
      <c r="E105" s="43">
        <v>190079.34</v>
      </c>
    </row>
    <row r="106" spans="1:5" ht="15">
      <c r="A106" s="42">
        <v>11</v>
      </c>
      <c r="B106" s="270" t="s">
        <v>735</v>
      </c>
      <c r="C106" s="270"/>
      <c r="D106" s="270"/>
      <c r="E106" s="43">
        <v>26217.23</v>
      </c>
    </row>
    <row r="107" spans="1:5" ht="15">
      <c r="A107" s="42">
        <v>12</v>
      </c>
      <c r="B107" s="272" t="s">
        <v>736</v>
      </c>
      <c r="C107" s="272"/>
      <c r="D107" s="272"/>
      <c r="E107" s="44">
        <v>0</v>
      </c>
    </row>
    <row r="108" spans="1:5" ht="28.5" customHeight="1">
      <c r="A108" s="42">
        <v>13</v>
      </c>
      <c r="B108" s="271" t="s">
        <v>460</v>
      </c>
      <c r="C108" s="271"/>
      <c r="D108" s="271"/>
      <c r="E108" s="45">
        <f>E99-E101</f>
        <v>-132693.36151000008</v>
      </c>
    </row>
    <row r="109" spans="1:5" ht="30" customHeight="1">
      <c r="A109" s="42">
        <v>14</v>
      </c>
      <c r="B109" s="271" t="s">
        <v>738</v>
      </c>
      <c r="C109" s="271"/>
      <c r="D109" s="271"/>
      <c r="E109" s="45">
        <f>E102-E104</f>
        <v>-267307</v>
      </c>
    </row>
    <row r="110" spans="1:5" ht="30.75" customHeight="1">
      <c r="A110" s="42">
        <v>15</v>
      </c>
      <c r="B110" s="271" t="s">
        <v>2273</v>
      </c>
      <c r="C110" s="271"/>
      <c r="D110" s="271"/>
      <c r="E110" s="45">
        <f>E100-E101</f>
        <v>-231887.54151</v>
      </c>
    </row>
    <row r="111" ht="12.75">
      <c r="E111" s="39"/>
    </row>
    <row r="112" spans="1:5" ht="89.25">
      <c r="A112" s="12" t="s">
        <v>492</v>
      </c>
      <c r="E112" s="39"/>
    </row>
    <row r="113" spans="1:5" ht="76.5">
      <c r="A113" s="12" t="s">
        <v>493</v>
      </c>
      <c r="E113" s="39"/>
    </row>
    <row r="114" spans="1:5" ht="191.25">
      <c r="A114" s="12" t="s">
        <v>494</v>
      </c>
      <c r="E114" s="39"/>
    </row>
    <row r="115" spans="1:5" ht="76.5">
      <c r="A115" s="12" t="s">
        <v>495</v>
      </c>
      <c r="E115" s="39"/>
    </row>
  </sheetData>
  <sheetProtection/>
  <mergeCells count="37">
    <mergeCell ref="B8:C8"/>
    <mergeCell ref="A38:D38"/>
    <mergeCell ref="A45:D45"/>
    <mergeCell ref="A58:D58"/>
    <mergeCell ref="A9:D9"/>
    <mergeCell ref="A16:D16"/>
    <mergeCell ref="A21:D21"/>
    <mergeCell ref="A84:D84"/>
    <mergeCell ref="A78:D78"/>
    <mergeCell ref="B1:E1"/>
    <mergeCell ref="A4:D4"/>
    <mergeCell ref="A6:D6"/>
    <mergeCell ref="B3:C3"/>
    <mergeCell ref="A34:D34"/>
    <mergeCell ref="A41:D41"/>
    <mergeCell ref="A72:D72"/>
    <mergeCell ref="A59:D59"/>
    <mergeCell ref="B97:D97"/>
    <mergeCell ref="B96:D96"/>
    <mergeCell ref="B101:D101"/>
    <mergeCell ref="B100:D100"/>
    <mergeCell ref="B98:D98"/>
    <mergeCell ref="A91:D91"/>
    <mergeCell ref="A92:D92"/>
    <mergeCell ref="B93:D93"/>
    <mergeCell ref="B94:D94"/>
    <mergeCell ref="B95:D95"/>
    <mergeCell ref="B110:D110"/>
    <mergeCell ref="B102:D102"/>
    <mergeCell ref="B103:D103"/>
    <mergeCell ref="B104:D104"/>
    <mergeCell ref="B105:D105"/>
    <mergeCell ref="B99:D99"/>
    <mergeCell ref="B108:D108"/>
    <mergeCell ref="B109:D109"/>
    <mergeCell ref="B107:D107"/>
    <mergeCell ref="B106:D106"/>
  </mergeCells>
  <printOptions/>
  <pageMargins left="0.2755905511811024" right="0.2362204724409449" top="0.2755905511811024" bottom="0.2362204724409449" header="0.1968503937007874" footer="0.1968503937007874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7"/>
  <sheetViews>
    <sheetView zoomScalePageLayoutView="0" workbookViewId="0" topLeftCell="A46">
      <selection activeCell="E94" sqref="A1:E94"/>
    </sheetView>
  </sheetViews>
  <sheetFormatPr defaultColWidth="13.421875" defaultRowHeight="12.75" outlineLevelRow="2"/>
  <cols>
    <col min="1" max="1" width="2.7109375" style="1" customWidth="1"/>
    <col min="2" max="2" width="11.8515625" style="1" customWidth="1"/>
    <col min="3" max="3" width="14.7109375" style="1" customWidth="1"/>
    <col min="4" max="4" width="71.003906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.75" thickBot="1">
      <c r="A1" s="42"/>
      <c r="B1" s="333" t="s">
        <v>461</v>
      </c>
      <c r="C1" s="334"/>
      <c r="D1" s="334"/>
      <c r="E1" s="335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5">
      <c r="A3" s="91"/>
      <c r="B3" s="308"/>
      <c r="C3" s="308"/>
      <c r="D3" s="155" t="s">
        <v>1575</v>
      </c>
      <c r="E3" s="130">
        <v>0</v>
      </c>
    </row>
    <row r="4" spans="1:5" ht="13.5" customHeight="1">
      <c r="A4" s="115"/>
      <c r="B4" s="309"/>
      <c r="C4" s="309"/>
      <c r="D4" s="142" t="s">
        <v>1600</v>
      </c>
      <c r="E4" s="130">
        <f>E5+E12+E17+E25+E30+E33+E35+E48+E49+E62+E64+E68+E75+E76</f>
        <v>222334.62000000002</v>
      </c>
    </row>
    <row r="5" spans="1:5" ht="14.25" customHeight="1" outlineLevel="1">
      <c r="A5" s="255" t="s">
        <v>1576</v>
      </c>
      <c r="B5" s="256"/>
      <c r="C5" s="256"/>
      <c r="D5" s="257"/>
      <c r="E5" s="105">
        <f>SUM(E6:E11)</f>
        <v>41387.51</v>
      </c>
    </row>
    <row r="6" spans="1:6" ht="15" outlineLevel="2">
      <c r="A6" s="42"/>
      <c r="B6" s="83" t="s">
        <v>2</v>
      </c>
      <c r="C6" s="83" t="s">
        <v>1580</v>
      </c>
      <c r="D6" s="83" t="s">
        <v>2277</v>
      </c>
      <c r="E6" s="106">
        <v>21.69</v>
      </c>
      <c r="F6" s="14"/>
    </row>
    <row r="7" spans="1:6" ht="34.5" customHeight="1" outlineLevel="2">
      <c r="A7" s="42"/>
      <c r="B7" s="83" t="s">
        <v>508</v>
      </c>
      <c r="C7" s="83" t="s">
        <v>1582</v>
      </c>
      <c r="D7" s="83" t="s">
        <v>509</v>
      </c>
      <c r="E7" s="106">
        <v>139.74</v>
      </c>
      <c r="F7" s="14"/>
    </row>
    <row r="8" spans="1:6" ht="15" outlineLevel="2">
      <c r="A8" s="42"/>
      <c r="B8" s="83" t="s">
        <v>1033</v>
      </c>
      <c r="C8" s="83" t="s">
        <v>1583</v>
      </c>
      <c r="D8" s="83" t="s">
        <v>509</v>
      </c>
      <c r="E8" s="106">
        <v>1076.93</v>
      </c>
      <c r="F8" s="14"/>
    </row>
    <row r="9" spans="1:6" ht="15" outlineLevel="2">
      <c r="A9" s="42"/>
      <c r="B9" s="83" t="s">
        <v>2</v>
      </c>
      <c r="C9" s="83" t="s">
        <v>1583</v>
      </c>
      <c r="D9" s="83" t="s">
        <v>855</v>
      </c>
      <c r="E9" s="106">
        <v>80.15</v>
      </c>
      <c r="F9" s="14"/>
    </row>
    <row r="10" spans="1:6" ht="15" outlineLevel="2">
      <c r="A10" s="42"/>
      <c r="B10" s="83" t="s">
        <v>1974</v>
      </c>
      <c r="C10" s="83" t="s">
        <v>1585</v>
      </c>
      <c r="D10" s="83" t="s">
        <v>2396</v>
      </c>
      <c r="E10" s="106">
        <v>38075</v>
      </c>
      <c r="F10" s="14"/>
    </row>
    <row r="11" spans="1:6" ht="15" outlineLevel="2">
      <c r="A11" s="42"/>
      <c r="B11" s="83" t="s">
        <v>1983</v>
      </c>
      <c r="C11" s="83" t="s">
        <v>1586</v>
      </c>
      <c r="D11" s="83" t="s">
        <v>1930</v>
      </c>
      <c r="E11" s="106">
        <v>1994</v>
      </c>
      <c r="F11" s="14"/>
    </row>
    <row r="12" spans="1:5" ht="14.25" customHeight="1" outlineLevel="1">
      <c r="A12" s="255" t="s">
        <v>1589</v>
      </c>
      <c r="B12" s="256"/>
      <c r="C12" s="256"/>
      <c r="D12" s="257"/>
      <c r="E12" s="105">
        <f>SUM(E13:E16)</f>
        <v>10716.36</v>
      </c>
    </row>
    <row r="13" spans="1:6" ht="30" outlineLevel="2">
      <c r="A13" s="42"/>
      <c r="B13" s="82" t="s">
        <v>4</v>
      </c>
      <c r="C13" s="82" t="s">
        <v>1577</v>
      </c>
      <c r="D13" s="82" t="s">
        <v>427</v>
      </c>
      <c r="E13" s="106">
        <v>718.7</v>
      </c>
      <c r="F13" s="14"/>
    </row>
    <row r="14" spans="1:6" ht="30" outlineLevel="2">
      <c r="A14" s="42"/>
      <c r="B14" s="83" t="s">
        <v>1065</v>
      </c>
      <c r="C14" s="83" t="s">
        <v>1579</v>
      </c>
      <c r="D14" s="83" t="s">
        <v>2166</v>
      </c>
      <c r="E14" s="106">
        <v>3753.8</v>
      </c>
      <c r="F14" s="14"/>
    </row>
    <row r="15" spans="1:6" ht="15" outlineLevel="2">
      <c r="A15" s="42"/>
      <c r="B15" s="83" t="s">
        <v>2181</v>
      </c>
      <c r="C15" s="83" t="s">
        <v>1579</v>
      </c>
      <c r="D15" s="83" t="s">
        <v>2330</v>
      </c>
      <c r="E15" s="106">
        <v>345.22</v>
      </c>
      <c r="F15" s="14"/>
    </row>
    <row r="16" spans="1:6" ht="15" outlineLevel="2">
      <c r="A16" s="42"/>
      <c r="B16" s="83" t="s">
        <v>42</v>
      </c>
      <c r="C16" s="83" t="s">
        <v>1583</v>
      </c>
      <c r="D16" s="83" t="s">
        <v>157</v>
      </c>
      <c r="E16" s="106">
        <v>5898.64</v>
      </c>
      <c r="F16" s="14"/>
    </row>
    <row r="17" spans="1:5" ht="14.25" customHeight="1" outlineLevel="1">
      <c r="A17" s="255" t="s">
        <v>1590</v>
      </c>
      <c r="B17" s="256"/>
      <c r="C17" s="256"/>
      <c r="D17" s="257"/>
      <c r="E17" s="105">
        <f>SUM(E18:E24)</f>
        <v>10673.59</v>
      </c>
    </row>
    <row r="18" spans="1:6" ht="15" outlineLevel="2">
      <c r="A18" s="42"/>
      <c r="B18" s="88" t="s">
        <v>2</v>
      </c>
      <c r="C18" s="82" t="s">
        <v>1577</v>
      </c>
      <c r="D18" s="82" t="s">
        <v>1724</v>
      </c>
      <c r="E18" s="106">
        <v>100.3</v>
      </c>
      <c r="F18" s="14"/>
    </row>
    <row r="19" spans="1:6" ht="15" outlineLevel="2">
      <c r="A19" s="42"/>
      <c r="B19" s="87" t="s">
        <v>2</v>
      </c>
      <c r="C19" s="83" t="s">
        <v>1581</v>
      </c>
      <c r="D19" s="83" t="s">
        <v>940</v>
      </c>
      <c r="E19" s="106">
        <v>165.51</v>
      </c>
      <c r="F19" s="14"/>
    </row>
    <row r="20" spans="1:6" ht="15" outlineLevel="2">
      <c r="A20" s="42"/>
      <c r="B20" s="87" t="s">
        <v>2</v>
      </c>
      <c r="C20" s="83" t="s">
        <v>1583</v>
      </c>
      <c r="D20" s="83" t="s">
        <v>760</v>
      </c>
      <c r="E20" s="106">
        <v>5292</v>
      </c>
      <c r="F20" s="14"/>
    </row>
    <row r="21" spans="1:6" ht="15" outlineLevel="2">
      <c r="A21" s="42"/>
      <c r="B21" s="87" t="s">
        <v>33</v>
      </c>
      <c r="C21" s="83" t="s">
        <v>1584</v>
      </c>
      <c r="D21" s="83" t="s">
        <v>703</v>
      </c>
      <c r="E21" s="106">
        <v>1995.6</v>
      </c>
      <c r="F21" s="14"/>
    </row>
    <row r="22" spans="1:6" ht="30" outlineLevel="2">
      <c r="A22" s="42"/>
      <c r="B22" s="87" t="s">
        <v>192</v>
      </c>
      <c r="C22" s="83" t="s">
        <v>1586</v>
      </c>
      <c r="D22" s="83" t="s">
        <v>783</v>
      </c>
      <c r="E22" s="106">
        <v>1470.65</v>
      </c>
      <c r="F22" s="14"/>
    </row>
    <row r="23" spans="1:6" ht="15" outlineLevel="2">
      <c r="A23" s="42"/>
      <c r="B23" s="87" t="s">
        <v>1199</v>
      </c>
      <c r="C23" s="83" t="s">
        <v>1587</v>
      </c>
      <c r="D23" s="83" t="s">
        <v>1179</v>
      </c>
      <c r="E23" s="106">
        <v>45.53</v>
      </c>
      <c r="F23" s="14"/>
    </row>
    <row r="24" spans="1:6" ht="30" outlineLevel="2">
      <c r="A24" s="42"/>
      <c r="B24" s="87" t="s">
        <v>1956</v>
      </c>
      <c r="C24" s="83" t="s">
        <v>1588</v>
      </c>
      <c r="D24" s="83" t="s">
        <v>1957</v>
      </c>
      <c r="E24" s="106">
        <v>1604</v>
      </c>
      <c r="F24" s="14"/>
    </row>
    <row r="25" spans="1:5" ht="14.25" customHeight="1" outlineLevel="1">
      <c r="A25" s="255" t="s">
        <v>1591</v>
      </c>
      <c r="B25" s="256"/>
      <c r="C25" s="256"/>
      <c r="D25" s="257"/>
      <c r="E25" s="105">
        <f>SUM(E26:E29)</f>
        <v>5080.21</v>
      </c>
    </row>
    <row r="26" spans="1:6" ht="15" outlineLevel="2">
      <c r="A26" s="42"/>
      <c r="B26" s="87" t="s">
        <v>7</v>
      </c>
      <c r="C26" s="83" t="s">
        <v>1578</v>
      </c>
      <c r="D26" s="83" t="s">
        <v>767</v>
      </c>
      <c r="E26" s="106">
        <v>77.08</v>
      </c>
      <c r="F26" s="14"/>
    </row>
    <row r="27" spans="1:6" ht="15" outlineLevel="2">
      <c r="A27" s="42"/>
      <c r="B27" s="87" t="s">
        <v>1064</v>
      </c>
      <c r="C27" s="83" t="s">
        <v>1579</v>
      </c>
      <c r="D27" s="83" t="s">
        <v>604</v>
      </c>
      <c r="E27" s="106">
        <v>1542.2</v>
      </c>
      <c r="F27" s="14"/>
    </row>
    <row r="28" spans="1:6" ht="15" outlineLevel="2">
      <c r="A28" s="42"/>
      <c r="B28" s="87" t="s">
        <v>1976</v>
      </c>
      <c r="C28" s="83" t="s">
        <v>1585</v>
      </c>
      <c r="D28" s="83" t="s">
        <v>1388</v>
      </c>
      <c r="E28" s="106">
        <v>1606.96</v>
      </c>
      <c r="F28" s="14"/>
    </row>
    <row r="29" spans="1:6" ht="13.5" customHeight="1" outlineLevel="2">
      <c r="A29" s="42"/>
      <c r="B29" s="87" t="s">
        <v>2282</v>
      </c>
      <c r="C29" s="83" t="s">
        <v>1587</v>
      </c>
      <c r="D29" s="83" t="s">
        <v>2283</v>
      </c>
      <c r="E29" s="106">
        <v>1853.97</v>
      </c>
      <c r="F29" s="14"/>
    </row>
    <row r="30" spans="1:5" ht="13.5" customHeight="1" outlineLevel="1">
      <c r="A30" s="255" t="s">
        <v>1594</v>
      </c>
      <c r="B30" s="256"/>
      <c r="C30" s="256"/>
      <c r="D30" s="257"/>
      <c r="E30" s="105">
        <f>SUM(E31:E32)</f>
        <v>56369.58</v>
      </c>
    </row>
    <row r="31" spans="1:6" ht="15" outlineLevel="2">
      <c r="A31" s="42"/>
      <c r="B31" s="87" t="s">
        <v>1980</v>
      </c>
      <c r="C31" s="83" t="s">
        <v>1585</v>
      </c>
      <c r="D31" s="83" t="s">
        <v>1643</v>
      </c>
      <c r="E31" s="106">
        <v>8502.58</v>
      </c>
      <c r="F31" s="14"/>
    </row>
    <row r="32" spans="1:6" ht="15" outlineLevel="2">
      <c r="A32" s="42"/>
      <c r="B32" s="87" t="s">
        <v>1978</v>
      </c>
      <c r="C32" s="83" t="s">
        <v>1585</v>
      </c>
      <c r="D32" s="83" t="s">
        <v>1296</v>
      </c>
      <c r="E32" s="106">
        <v>47867</v>
      </c>
      <c r="F32" s="14"/>
    </row>
    <row r="33" spans="1:5" ht="12.75" customHeight="1" outlineLevel="1">
      <c r="A33" s="255" t="s">
        <v>1599</v>
      </c>
      <c r="B33" s="256"/>
      <c r="C33" s="256"/>
      <c r="D33" s="257"/>
      <c r="E33" s="105">
        <f>SUM(E34:E34)</f>
        <v>2128.64</v>
      </c>
    </row>
    <row r="34" spans="1:6" ht="15" outlineLevel="2">
      <c r="A34" s="42"/>
      <c r="B34" s="83" t="s">
        <v>1129</v>
      </c>
      <c r="C34" s="83" t="s">
        <v>1587</v>
      </c>
      <c r="D34" s="83" t="s">
        <v>1130</v>
      </c>
      <c r="E34" s="106">
        <v>2128.64</v>
      </c>
      <c r="F34" s="14"/>
    </row>
    <row r="35" spans="1:5" ht="13.5" customHeight="1" outlineLevel="1">
      <c r="A35" s="255" t="s">
        <v>1713</v>
      </c>
      <c r="B35" s="256"/>
      <c r="C35" s="256"/>
      <c r="D35" s="257"/>
      <c r="E35" s="105">
        <f>SUM(E36:E47)</f>
        <v>51040.38999999999</v>
      </c>
    </row>
    <row r="36" spans="1:6" ht="15" outlineLevel="2">
      <c r="A36" s="42"/>
      <c r="B36" s="82"/>
      <c r="C36" s="82" t="s">
        <v>1577</v>
      </c>
      <c r="D36" s="82" t="s">
        <v>1496</v>
      </c>
      <c r="E36" s="106">
        <v>4424.65</v>
      </c>
      <c r="F36" s="14"/>
    </row>
    <row r="37" spans="1:6" ht="15" outlineLevel="2">
      <c r="A37" s="42"/>
      <c r="B37" s="83"/>
      <c r="C37" s="83" t="s">
        <v>1578</v>
      </c>
      <c r="D37" s="83" t="s">
        <v>1496</v>
      </c>
      <c r="E37" s="106">
        <v>4424.65</v>
      </c>
      <c r="F37" s="14"/>
    </row>
    <row r="38" spans="1:6" ht="15" outlineLevel="2">
      <c r="A38" s="42"/>
      <c r="B38" s="83"/>
      <c r="C38" s="83" t="s">
        <v>1579</v>
      </c>
      <c r="D38" s="83" t="s">
        <v>1496</v>
      </c>
      <c r="E38" s="106">
        <v>4424.65</v>
      </c>
      <c r="F38" s="14"/>
    </row>
    <row r="39" spans="1:6" ht="15" outlineLevel="2">
      <c r="A39" s="42"/>
      <c r="B39" s="83"/>
      <c r="C39" s="83" t="s">
        <v>1580</v>
      </c>
      <c r="D39" s="83" t="s">
        <v>1496</v>
      </c>
      <c r="E39" s="106">
        <v>4424.65</v>
      </c>
      <c r="F39" s="14"/>
    </row>
    <row r="40" spans="1:6" ht="15" outlineLevel="2">
      <c r="A40" s="42"/>
      <c r="B40" s="83"/>
      <c r="C40" s="83" t="s">
        <v>1581</v>
      </c>
      <c r="D40" s="83" t="s">
        <v>1496</v>
      </c>
      <c r="E40" s="106">
        <v>3906.07</v>
      </c>
      <c r="F40" s="14"/>
    </row>
    <row r="41" spans="1:6" ht="15" outlineLevel="2">
      <c r="A41" s="42"/>
      <c r="B41" s="83"/>
      <c r="C41" s="83" t="s">
        <v>1582</v>
      </c>
      <c r="D41" s="83" t="s">
        <v>1496</v>
      </c>
      <c r="E41" s="106">
        <v>4234.17</v>
      </c>
      <c r="F41" s="14"/>
    </row>
    <row r="42" spans="1:6" ht="15" outlineLevel="2">
      <c r="A42" s="42"/>
      <c r="B42" s="83"/>
      <c r="C42" s="83" t="s">
        <v>1583</v>
      </c>
      <c r="D42" s="83" t="s">
        <v>1496</v>
      </c>
      <c r="E42" s="106">
        <v>4234.17</v>
      </c>
      <c r="F42" s="14"/>
    </row>
    <row r="43" spans="1:6" ht="15" outlineLevel="2">
      <c r="A43" s="42"/>
      <c r="B43" s="83"/>
      <c r="C43" s="83" t="s">
        <v>1584</v>
      </c>
      <c r="D43" s="83" t="s">
        <v>1496</v>
      </c>
      <c r="E43" s="106">
        <v>4234.17</v>
      </c>
      <c r="F43" s="14"/>
    </row>
    <row r="44" spans="1:6" ht="15" outlineLevel="2">
      <c r="A44" s="42"/>
      <c r="B44" s="83"/>
      <c r="C44" s="83" t="s">
        <v>1585</v>
      </c>
      <c r="D44" s="83" t="s">
        <v>1496</v>
      </c>
      <c r="E44" s="106">
        <v>4234.17</v>
      </c>
      <c r="F44" s="14"/>
    </row>
    <row r="45" spans="1:6" ht="15" outlineLevel="2">
      <c r="A45" s="42"/>
      <c r="B45" s="83"/>
      <c r="C45" s="83" t="s">
        <v>1586</v>
      </c>
      <c r="D45" s="83" t="s">
        <v>1496</v>
      </c>
      <c r="E45" s="106">
        <v>4424.65</v>
      </c>
      <c r="F45" s="14"/>
    </row>
    <row r="46" spans="1:6" ht="15" outlineLevel="2">
      <c r="A46" s="42"/>
      <c r="B46" s="83"/>
      <c r="C46" s="83" t="s">
        <v>1587</v>
      </c>
      <c r="D46" s="83" t="s">
        <v>1496</v>
      </c>
      <c r="E46" s="106">
        <v>4424.65</v>
      </c>
      <c r="F46" s="14"/>
    </row>
    <row r="47" spans="1:6" ht="15" outlineLevel="2">
      <c r="A47" s="42"/>
      <c r="B47" s="89"/>
      <c r="C47" s="83" t="s">
        <v>1588</v>
      </c>
      <c r="D47" s="83" t="s">
        <v>1496</v>
      </c>
      <c r="E47" s="106">
        <v>3649.74</v>
      </c>
      <c r="F47" s="14"/>
    </row>
    <row r="48" spans="1:5" ht="13.5" customHeight="1" outlineLevel="1">
      <c r="A48" s="255" t="s">
        <v>1714</v>
      </c>
      <c r="B48" s="256"/>
      <c r="C48" s="256"/>
      <c r="D48" s="257"/>
      <c r="E48" s="105">
        <f>1.46*1249*12</f>
        <v>21882.48</v>
      </c>
    </row>
    <row r="49" spans="1:5" ht="12.75" customHeight="1" outlineLevel="1">
      <c r="A49" s="255" t="s">
        <v>1715</v>
      </c>
      <c r="B49" s="256"/>
      <c r="C49" s="256"/>
      <c r="D49" s="257"/>
      <c r="E49" s="105">
        <f>SUM(E50:E61)</f>
        <v>6855.9400000000005</v>
      </c>
    </row>
    <row r="50" spans="1:6" ht="20.25" customHeight="1" outlineLevel="2">
      <c r="A50" s="42"/>
      <c r="B50" s="83" t="s">
        <v>87</v>
      </c>
      <c r="C50" s="83" t="s">
        <v>1578</v>
      </c>
      <c r="D50" s="83" t="s">
        <v>88</v>
      </c>
      <c r="E50" s="106">
        <v>1007</v>
      </c>
      <c r="F50" s="14"/>
    </row>
    <row r="51" spans="1:6" ht="15" outlineLevel="2">
      <c r="A51" s="42"/>
      <c r="B51" s="83" t="s">
        <v>2</v>
      </c>
      <c r="C51" s="83" t="s">
        <v>1578</v>
      </c>
      <c r="D51" s="83" t="s">
        <v>1495</v>
      </c>
      <c r="E51" s="106">
        <v>106.08</v>
      </c>
      <c r="F51" s="14"/>
    </row>
    <row r="52" spans="1:6" ht="15" outlineLevel="2">
      <c r="A52" s="42"/>
      <c r="B52" s="83" t="s">
        <v>1969</v>
      </c>
      <c r="C52" s="83" t="s">
        <v>1579</v>
      </c>
      <c r="D52" s="83" t="s">
        <v>2233</v>
      </c>
      <c r="E52" s="106">
        <v>319.17</v>
      </c>
      <c r="F52" s="14"/>
    </row>
    <row r="53" spans="1:6" ht="15" outlineLevel="2">
      <c r="A53" s="42"/>
      <c r="B53" s="83" t="s">
        <v>139</v>
      </c>
      <c r="C53" s="83" t="s">
        <v>1580</v>
      </c>
      <c r="D53" s="83" t="s">
        <v>2233</v>
      </c>
      <c r="E53" s="106">
        <v>578.08</v>
      </c>
      <c r="F53" s="14"/>
    </row>
    <row r="54" spans="1:6" ht="15" outlineLevel="2">
      <c r="A54" s="42"/>
      <c r="B54" s="83" t="s">
        <v>1678</v>
      </c>
      <c r="C54" s="83" t="s">
        <v>1581</v>
      </c>
      <c r="D54" s="83" t="s">
        <v>223</v>
      </c>
      <c r="E54" s="106">
        <v>513.59</v>
      </c>
      <c r="F54" s="14"/>
    </row>
    <row r="55" spans="1:6" ht="15" outlineLevel="2">
      <c r="A55" s="42"/>
      <c r="B55" s="83" t="s">
        <v>1313</v>
      </c>
      <c r="C55" s="83" t="s">
        <v>1583</v>
      </c>
      <c r="D55" s="83" t="s">
        <v>110</v>
      </c>
      <c r="E55" s="106">
        <v>949.51</v>
      </c>
      <c r="F55" s="14"/>
    </row>
    <row r="56" spans="1:6" ht="15" outlineLevel="2">
      <c r="A56" s="42"/>
      <c r="B56" s="83" t="s">
        <v>53</v>
      </c>
      <c r="C56" s="83" t="s">
        <v>1583</v>
      </c>
      <c r="D56" s="83" t="s">
        <v>110</v>
      </c>
      <c r="E56" s="106">
        <v>1119.3</v>
      </c>
      <c r="F56" s="14"/>
    </row>
    <row r="57" spans="1:6" ht="18" customHeight="1" outlineLevel="2">
      <c r="A57" s="42"/>
      <c r="B57" s="83" t="s">
        <v>1033</v>
      </c>
      <c r="C57" s="83" t="s">
        <v>1584</v>
      </c>
      <c r="D57" s="83" t="s">
        <v>762</v>
      </c>
      <c r="E57" s="106">
        <v>621.47</v>
      </c>
      <c r="F57" s="14"/>
    </row>
    <row r="58" spans="1:6" ht="15" outlineLevel="2">
      <c r="A58" s="42"/>
      <c r="B58" s="83" t="s">
        <v>1982</v>
      </c>
      <c r="C58" s="83" t="s">
        <v>1586</v>
      </c>
      <c r="D58" s="83" t="s">
        <v>110</v>
      </c>
      <c r="E58" s="106">
        <v>1063.13</v>
      </c>
      <c r="F58" s="14"/>
    </row>
    <row r="59" spans="1:6" ht="15" outlineLevel="2">
      <c r="A59" s="42"/>
      <c r="B59" s="83" t="s">
        <v>206</v>
      </c>
      <c r="C59" s="83" t="s">
        <v>1587</v>
      </c>
      <c r="D59" s="83" t="s">
        <v>207</v>
      </c>
      <c r="E59" s="106">
        <v>139.2</v>
      </c>
      <c r="F59" s="14"/>
    </row>
    <row r="60" spans="1:6" ht="15" outlineLevel="2">
      <c r="A60" s="42"/>
      <c r="B60" s="83" t="s">
        <v>2003</v>
      </c>
      <c r="C60" s="83" t="s">
        <v>1588</v>
      </c>
      <c r="D60" s="83" t="s">
        <v>2073</v>
      </c>
      <c r="E60" s="106">
        <v>71.3</v>
      </c>
      <c r="F60" s="14"/>
    </row>
    <row r="61" spans="1:6" ht="15" outlineLevel="2">
      <c r="A61" s="42"/>
      <c r="B61" s="83" t="s">
        <v>1958</v>
      </c>
      <c r="C61" s="83" t="s">
        <v>1588</v>
      </c>
      <c r="D61" s="83" t="s">
        <v>1960</v>
      </c>
      <c r="E61" s="106">
        <v>368.11</v>
      </c>
      <c r="F61" s="14"/>
    </row>
    <row r="62" spans="1:5" ht="13.5" customHeight="1" outlineLevel="1">
      <c r="A62" s="255" t="s">
        <v>1716</v>
      </c>
      <c r="B62" s="256"/>
      <c r="C62" s="256"/>
      <c r="D62" s="257"/>
      <c r="E62" s="105">
        <f>SUM(E63:E63)</f>
        <v>1062.1</v>
      </c>
    </row>
    <row r="63" spans="1:6" ht="15" outlineLevel="2">
      <c r="A63" s="42"/>
      <c r="B63" s="83" t="s">
        <v>55</v>
      </c>
      <c r="C63" s="83" t="s">
        <v>1584</v>
      </c>
      <c r="D63" s="83" t="s">
        <v>933</v>
      </c>
      <c r="E63" s="106">
        <v>1062.1</v>
      </c>
      <c r="F63" s="14"/>
    </row>
    <row r="64" spans="1:5" ht="13.5" customHeight="1" outlineLevel="1">
      <c r="A64" s="255" t="s">
        <v>1595</v>
      </c>
      <c r="B64" s="256"/>
      <c r="C64" s="256"/>
      <c r="D64" s="257"/>
      <c r="E64" s="105">
        <f>SUM(E65:E67)</f>
        <v>8849.1</v>
      </c>
    </row>
    <row r="65" spans="1:6" ht="35.25" customHeight="1" outlineLevel="2">
      <c r="A65" s="42"/>
      <c r="B65" s="83" t="s">
        <v>9</v>
      </c>
      <c r="C65" s="83" t="s">
        <v>1578</v>
      </c>
      <c r="D65" s="83" t="s">
        <v>843</v>
      </c>
      <c r="E65" s="106">
        <v>7204.64</v>
      </c>
      <c r="F65" s="14"/>
    </row>
    <row r="66" spans="1:6" ht="15" outlineLevel="2">
      <c r="A66" s="42"/>
      <c r="B66" s="83" t="s">
        <v>15</v>
      </c>
      <c r="C66" s="83" t="s">
        <v>1579</v>
      </c>
      <c r="D66" s="83" t="s">
        <v>1562</v>
      </c>
      <c r="E66" s="106">
        <v>1130.46</v>
      </c>
      <c r="F66" s="14"/>
    </row>
    <row r="67" spans="1:6" ht="15" outlineLevel="2">
      <c r="A67" s="42"/>
      <c r="B67" s="83" t="s">
        <v>996</v>
      </c>
      <c r="C67" s="83" t="s">
        <v>1588</v>
      </c>
      <c r="D67" s="83" t="s">
        <v>997</v>
      </c>
      <c r="E67" s="106">
        <v>514</v>
      </c>
      <c r="F67" s="14"/>
    </row>
    <row r="68" spans="1:5" ht="13.5" customHeight="1" outlineLevel="1">
      <c r="A68" s="255" t="s">
        <v>1718</v>
      </c>
      <c r="B68" s="256"/>
      <c r="C68" s="256"/>
      <c r="D68" s="257"/>
      <c r="E68" s="105">
        <f>SUM(E69:E74)</f>
        <v>1622.18</v>
      </c>
    </row>
    <row r="69" spans="1:6" ht="15" outlineLevel="2">
      <c r="A69" s="42"/>
      <c r="B69" s="82" t="s">
        <v>2</v>
      </c>
      <c r="C69" s="82" t="s">
        <v>1577</v>
      </c>
      <c r="D69" s="82" t="s">
        <v>1722</v>
      </c>
      <c r="E69" s="106">
        <v>33.44</v>
      </c>
      <c r="F69" s="14"/>
    </row>
    <row r="70" spans="1:6" ht="15" outlineLevel="2">
      <c r="A70" s="42"/>
      <c r="B70" s="83" t="s">
        <v>2</v>
      </c>
      <c r="C70" s="83" t="s">
        <v>1577</v>
      </c>
      <c r="D70" s="83" t="s">
        <v>2268</v>
      </c>
      <c r="E70" s="106">
        <v>643.6</v>
      </c>
      <c r="F70" s="14"/>
    </row>
    <row r="71" spans="1:6" ht="15" outlineLevel="2">
      <c r="A71" s="42"/>
      <c r="B71" s="83" t="s">
        <v>13</v>
      </c>
      <c r="C71" s="83" t="s">
        <v>1579</v>
      </c>
      <c r="D71" s="83" t="s">
        <v>2312</v>
      </c>
      <c r="E71" s="106">
        <v>170.61</v>
      </c>
      <c r="F71" s="14"/>
    </row>
    <row r="72" spans="1:6" ht="15" outlineLevel="2">
      <c r="A72" s="42"/>
      <c r="B72" s="83" t="s">
        <v>718</v>
      </c>
      <c r="C72" s="83" t="s">
        <v>57</v>
      </c>
      <c r="D72" s="83" t="s">
        <v>717</v>
      </c>
      <c r="E72" s="106">
        <v>33.8</v>
      </c>
      <c r="F72" s="14"/>
    </row>
    <row r="73" spans="1:6" ht="15" outlineLevel="2">
      <c r="A73" s="42"/>
      <c r="B73" s="83" t="s">
        <v>2</v>
      </c>
      <c r="C73" s="83" t="s">
        <v>1581</v>
      </c>
      <c r="D73" s="83" t="s">
        <v>2390</v>
      </c>
      <c r="E73" s="106">
        <v>606.33</v>
      </c>
      <c r="F73" s="14"/>
    </row>
    <row r="74" spans="1:6" ht="15" outlineLevel="2">
      <c r="A74" s="42"/>
      <c r="B74" s="84" t="s">
        <v>2</v>
      </c>
      <c r="C74" s="84" t="s">
        <v>57</v>
      </c>
      <c r="D74" s="84" t="s">
        <v>936</v>
      </c>
      <c r="E74" s="106">
        <v>134.4</v>
      </c>
      <c r="F74" s="14"/>
    </row>
    <row r="75" spans="1:6" ht="14.25" customHeight="1" outlineLevel="2">
      <c r="A75" s="255" t="s">
        <v>0</v>
      </c>
      <c r="B75" s="256"/>
      <c r="C75" s="256"/>
      <c r="D75" s="257"/>
      <c r="E75" s="105">
        <f>0.1*1249.9*12</f>
        <v>1499.88</v>
      </c>
      <c r="F75" s="14"/>
    </row>
    <row r="76" spans="1:6" ht="15.75" customHeight="1" outlineLevel="2">
      <c r="A76" s="255" t="s">
        <v>1369</v>
      </c>
      <c r="B76" s="256"/>
      <c r="C76" s="256"/>
      <c r="D76" s="257"/>
      <c r="E76" s="105">
        <v>3166.66</v>
      </c>
      <c r="F76" s="14"/>
    </row>
    <row r="77" spans="1:6" ht="15">
      <c r="A77" s="42"/>
      <c r="B77" s="273" t="s">
        <v>255</v>
      </c>
      <c r="C77" s="273"/>
      <c r="D77" s="273"/>
      <c r="E77" s="43">
        <f>0.94*1249*12</f>
        <v>14088.72</v>
      </c>
      <c r="F77" s="26"/>
    </row>
    <row r="78" spans="1:6" ht="15">
      <c r="A78" s="42"/>
      <c r="B78" s="270" t="s">
        <v>59</v>
      </c>
      <c r="C78" s="270"/>
      <c r="D78" s="270"/>
      <c r="E78" s="43">
        <f>1.57*1249.9*12</f>
        <v>23548.116</v>
      </c>
      <c r="F78" s="14"/>
    </row>
    <row r="79" spans="1:6" ht="15">
      <c r="A79" s="42"/>
      <c r="B79" s="270" t="s">
        <v>256</v>
      </c>
      <c r="C79" s="270"/>
      <c r="D79" s="270"/>
      <c r="E79" s="43">
        <f>10.3*(E81+E82)/100</f>
        <v>33137.7162</v>
      </c>
      <c r="F79" s="14"/>
    </row>
    <row r="80" spans="1:5" ht="15">
      <c r="A80" s="42">
        <v>1</v>
      </c>
      <c r="B80" s="272" t="s">
        <v>659</v>
      </c>
      <c r="C80" s="272"/>
      <c r="D80" s="272"/>
      <c r="E80" s="44">
        <f>E79+E78+E77+E4</f>
        <v>293109.17220000003</v>
      </c>
    </row>
    <row r="81" spans="1:6" ht="15">
      <c r="A81" s="42">
        <v>2</v>
      </c>
      <c r="B81" s="270" t="s">
        <v>258</v>
      </c>
      <c r="C81" s="270"/>
      <c r="D81" s="270"/>
      <c r="E81" s="43">
        <v>282728.52</v>
      </c>
      <c r="F81" s="14"/>
    </row>
    <row r="82" spans="1:5" ht="15">
      <c r="A82" s="42">
        <v>3</v>
      </c>
      <c r="B82" s="270" t="s">
        <v>259</v>
      </c>
      <c r="C82" s="270"/>
      <c r="D82" s="270"/>
      <c r="E82" s="43">
        <v>38996.88</v>
      </c>
    </row>
    <row r="83" spans="1:5" ht="15">
      <c r="A83" s="42">
        <v>4</v>
      </c>
      <c r="B83" s="270" t="s">
        <v>660</v>
      </c>
      <c r="C83" s="270"/>
      <c r="D83" s="270"/>
      <c r="E83" s="43">
        <v>854744.67</v>
      </c>
    </row>
    <row r="84" spans="1:5" ht="15">
      <c r="A84" s="42">
        <v>5</v>
      </c>
      <c r="B84" s="270" t="s">
        <v>2340</v>
      </c>
      <c r="C84" s="270"/>
      <c r="D84" s="270"/>
      <c r="E84" s="43">
        <v>762011.38</v>
      </c>
    </row>
    <row r="85" spans="1:5" ht="15">
      <c r="A85" s="42">
        <v>6</v>
      </c>
      <c r="B85" s="272" t="s">
        <v>2341</v>
      </c>
      <c r="C85" s="272"/>
      <c r="D85" s="272"/>
      <c r="E85" s="44">
        <f>'[5]Мира 10'!$E$68+E80</f>
        <v>903179.2022</v>
      </c>
    </row>
    <row r="86" spans="1:5" ht="15">
      <c r="A86" s="42">
        <v>7</v>
      </c>
      <c r="B86" s="270" t="s">
        <v>732</v>
      </c>
      <c r="C86" s="270"/>
      <c r="D86" s="270"/>
      <c r="E86" s="43">
        <v>118738.3</v>
      </c>
    </row>
    <row r="87" spans="1:5" ht="13.5" customHeight="1">
      <c r="A87" s="42">
        <v>8</v>
      </c>
      <c r="B87" s="270" t="s">
        <v>733</v>
      </c>
      <c r="C87" s="270"/>
      <c r="D87" s="270"/>
      <c r="E87" s="43">
        <v>105829</v>
      </c>
    </row>
    <row r="88" spans="1:5" ht="15">
      <c r="A88" s="42">
        <v>9</v>
      </c>
      <c r="B88" s="272" t="s">
        <v>734</v>
      </c>
      <c r="C88" s="272"/>
      <c r="D88" s="272"/>
      <c r="E88" s="44">
        <v>0</v>
      </c>
    </row>
    <row r="89" spans="1:5" ht="15">
      <c r="A89" s="42">
        <v>10</v>
      </c>
      <c r="B89" s="270" t="s">
        <v>260</v>
      </c>
      <c r="C89" s="270"/>
      <c r="D89" s="270"/>
      <c r="E89" s="43">
        <v>270392.44</v>
      </c>
    </row>
    <row r="90" spans="1:5" ht="15">
      <c r="A90" s="42">
        <v>11</v>
      </c>
      <c r="B90" s="270" t="s">
        <v>735</v>
      </c>
      <c r="C90" s="270"/>
      <c r="D90" s="270"/>
      <c r="E90" s="43">
        <v>37295.36</v>
      </c>
    </row>
    <row r="91" spans="1:5" ht="15">
      <c r="A91" s="42">
        <v>12</v>
      </c>
      <c r="B91" s="272" t="s">
        <v>736</v>
      </c>
      <c r="C91" s="272"/>
      <c r="D91" s="272"/>
      <c r="E91" s="44">
        <v>0</v>
      </c>
    </row>
    <row r="92" spans="1:5" ht="21" customHeight="1">
      <c r="A92" s="42">
        <v>13</v>
      </c>
      <c r="B92" s="271" t="s">
        <v>2271</v>
      </c>
      <c r="C92" s="271"/>
      <c r="D92" s="271"/>
      <c r="E92" s="45">
        <f>E83-E85</f>
        <v>-48434.532200000016</v>
      </c>
    </row>
    <row r="93" spans="1:5" ht="17.25" customHeight="1">
      <c r="A93" s="42">
        <v>14</v>
      </c>
      <c r="B93" s="271" t="s">
        <v>738</v>
      </c>
      <c r="C93" s="271"/>
      <c r="D93" s="271"/>
      <c r="E93" s="45">
        <f>E86-E88</f>
        <v>118738.3</v>
      </c>
    </row>
    <row r="94" spans="1:5" ht="28.5" customHeight="1">
      <c r="A94" s="42">
        <v>15</v>
      </c>
      <c r="B94" s="271" t="s">
        <v>2273</v>
      </c>
      <c r="C94" s="271"/>
      <c r="D94" s="271"/>
      <c r="E94" s="45">
        <f>E84-E85</f>
        <v>-141167.82220000005</v>
      </c>
    </row>
    <row r="95" ht="12.75">
      <c r="E95" s="39"/>
    </row>
    <row r="96" spans="1:5" ht="89.25">
      <c r="A96" s="12" t="s">
        <v>492</v>
      </c>
      <c r="E96" s="39"/>
    </row>
    <row r="97" spans="1:5" ht="76.5">
      <c r="A97" s="12" t="s">
        <v>493</v>
      </c>
      <c r="E97" s="39"/>
    </row>
    <row r="98" spans="1:5" ht="191.25">
      <c r="A98" s="12" t="s">
        <v>494</v>
      </c>
      <c r="E98" s="39"/>
    </row>
    <row r="99" spans="1:5" ht="76.5">
      <c r="A99" s="12" t="s">
        <v>495</v>
      </c>
      <c r="E99" s="39"/>
    </row>
    <row r="101" spans="3:5" ht="12.75">
      <c r="C101" s="1" t="s">
        <v>1579</v>
      </c>
      <c r="D101" s="1" t="s">
        <v>144</v>
      </c>
      <c r="E101" s="21">
        <v>4424.65</v>
      </c>
    </row>
    <row r="102" spans="2:5" ht="12.75">
      <c r="B102" s="1" t="s">
        <v>1702</v>
      </c>
      <c r="C102" s="1" t="s">
        <v>1580</v>
      </c>
      <c r="D102" s="1" t="s">
        <v>1970</v>
      </c>
      <c r="E102" s="21">
        <v>80.4</v>
      </c>
    </row>
    <row r="103" spans="2:5" ht="12.75">
      <c r="B103" s="1" t="s">
        <v>139</v>
      </c>
      <c r="C103" s="1" t="s">
        <v>1580</v>
      </c>
      <c r="D103" s="1" t="s">
        <v>1968</v>
      </c>
      <c r="E103" s="21">
        <v>578.08</v>
      </c>
    </row>
    <row r="104" spans="3:5" ht="12.75">
      <c r="C104" s="1" t="s">
        <v>1580</v>
      </c>
      <c r="D104" s="1" t="s">
        <v>144</v>
      </c>
      <c r="E104" s="21">
        <v>4424.65</v>
      </c>
    </row>
    <row r="105" spans="2:5" ht="12.75">
      <c r="B105" s="1" t="s">
        <v>1678</v>
      </c>
      <c r="C105" s="1" t="s">
        <v>1581</v>
      </c>
      <c r="D105" s="1" t="s">
        <v>1679</v>
      </c>
      <c r="E105" s="21">
        <v>513.59</v>
      </c>
    </row>
    <row r="106" spans="3:5" ht="12.75">
      <c r="C106" s="1" t="s">
        <v>1581</v>
      </c>
      <c r="D106" s="1" t="s">
        <v>144</v>
      </c>
      <c r="E106" s="21">
        <v>3906.07</v>
      </c>
    </row>
    <row r="107" spans="2:5" ht="12.75">
      <c r="B107" s="1" t="s">
        <v>1515</v>
      </c>
      <c r="C107" s="1" t="s">
        <v>1582</v>
      </c>
      <c r="D107" s="1" t="s">
        <v>1971</v>
      </c>
      <c r="E107" s="21">
        <v>414.66</v>
      </c>
    </row>
    <row r="108" spans="3:5" ht="12.75">
      <c r="C108" s="1" t="s">
        <v>1582</v>
      </c>
      <c r="D108" s="1" t="s">
        <v>144</v>
      </c>
      <c r="E108" s="21">
        <v>4234.17</v>
      </c>
    </row>
    <row r="109" spans="2:5" ht="12.75">
      <c r="B109" s="1" t="s">
        <v>42</v>
      </c>
      <c r="C109" s="1" t="s">
        <v>1583</v>
      </c>
      <c r="D109" s="1" t="s">
        <v>1972</v>
      </c>
      <c r="E109" s="21">
        <v>5630.98</v>
      </c>
    </row>
    <row r="110" spans="2:5" ht="12.75">
      <c r="B110" s="1" t="s">
        <v>53</v>
      </c>
      <c r="C110" s="1" t="s">
        <v>1583</v>
      </c>
      <c r="D110" s="1" t="s">
        <v>1973</v>
      </c>
      <c r="E110" s="21">
        <v>1120.83</v>
      </c>
    </row>
    <row r="111" spans="3:5" ht="12.75">
      <c r="C111" s="1" t="s">
        <v>1583</v>
      </c>
      <c r="D111" s="1" t="s">
        <v>144</v>
      </c>
      <c r="E111" s="21">
        <v>4234.17</v>
      </c>
    </row>
    <row r="112" spans="3:5" ht="12.75">
      <c r="C112" s="1" t="s">
        <v>1584</v>
      </c>
      <c r="D112" s="1" t="s">
        <v>144</v>
      </c>
      <c r="E112" s="21">
        <v>4234.17</v>
      </c>
    </row>
    <row r="113" spans="2:5" ht="12.75">
      <c r="B113" s="1" t="s">
        <v>1974</v>
      </c>
      <c r="C113" s="1" t="s">
        <v>1585</v>
      </c>
      <c r="D113" s="1" t="s">
        <v>1975</v>
      </c>
      <c r="E113" s="21">
        <v>38075</v>
      </c>
    </row>
    <row r="114" spans="2:5" ht="12.75">
      <c r="B114" s="1" t="s">
        <v>1976</v>
      </c>
      <c r="C114" s="1" t="s">
        <v>1585</v>
      </c>
      <c r="D114" s="1" t="s">
        <v>1977</v>
      </c>
      <c r="E114" s="21">
        <v>1606.96</v>
      </c>
    </row>
    <row r="115" spans="2:5" ht="12.75">
      <c r="B115" s="1" t="s">
        <v>1978</v>
      </c>
      <c r="C115" s="1" t="s">
        <v>1585</v>
      </c>
      <c r="D115" s="1" t="s">
        <v>1979</v>
      </c>
      <c r="E115" s="21">
        <v>47867</v>
      </c>
    </row>
    <row r="116" spans="2:5" ht="12.75">
      <c r="B116" s="1" t="s">
        <v>1980</v>
      </c>
      <c r="C116" s="1" t="s">
        <v>1585</v>
      </c>
      <c r="D116" s="1" t="s">
        <v>1981</v>
      </c>
      <c r="E116" s="21">
        <v>8502.58</v>
      </c>
    </row>
    <row r="117" spans="3:5" ht="12.75">
      <c r="C117" s="1" t="s">
        <v>1585</v>
      </c>
      <c r="D117" s="1" t="s">
        <v>144</v>
      </c>
      <c r="E117" s="21">
        <v>4234.17</v>
      </c>
    </row>
    <row r="118" spans="2:5" ht="12.75">
      <c r="B118" s="1" t="s">
        <v>1982</v>
      </c>
      <c r="C118" s="1" t="s">
        <v>1586</v>
      </c>
      <c r="D118" s="1" t="s">
        <v>1973</v>
      </c>
      <c r="E118" s="34">
        <v>1063.13</v>
      </c>
    </row>
    <row r="119" spans="2:5" ht="12.75">
      <c r="B119" s="12" t="s">
        <v>1983</v>
      </c>
      <c r="C119" s="12" t="s">
        <v>1586</v>
      </c>
      <c r="D119" s="12" t="s">
        <v>1984</v>
      </c>
      <c r="E119" s="21">
        <v>1994</v>
      </c>
    </row>
    <row r="120" spans="2:5" ht="12.75">
      <c r="B120" s="12"/>
      <c r="C120" s="12" t="s">
        <v>1586</v>
      </c>
      <c r="D120" s="12" t="s">
        <v>144</v>
      </c>
      <c r="E120" s="21">
        <v>4424.65</v>
      </c>
    </row>
    <row r="121" spans="2:6" ht="15" customHeight="1">
      <c r="B121" s="270" t="s">
        <v>255</v>
      </c>
      <c r="C121" s="270"/>
      <c r="D121" s="270"/>
      <c r="E121" s="270"/>
      <c r="F121" s="1">
        <v>13123.95</v>
      </c>
    </row>
    <row r="122" spans="2:6" ht="15" customHeight="1">
      <c r="B122" s="270" t="s">
        <v>59</v>
      </c>
      <c r="C122" s="270"/>
      <c r="D122" s="270"/>
      <c r="E122" s="270"/>
      <c r="F122" s="1">
        <v>21873.25</v>
      </c>
    </row>
    <row r="123" spans="2:5" ht="15.75" customHeight="1">
      <c r="B123" s="340" t="s">
        <v>256</v>
      </c>
      <c r="C123" s="340"/>
      <c r="D123" s="340"/>
      <c r="E123" s="340"/>
    </row>
    <row r="124" spans="2:5" ht="15.75" customHeight="1">
      <c r="B124" s="341" t="s">
        <v>257</v>
      </c>
      <c r="C124" s="341"/>
      <c r="D124" s="341"/>
      <c r="E124" s="341"/>
    </row>
    <row r="125" spans="2:5" ht="15" customHeight="1">
      <c r="B125" s="339" t="s">
        <v>258</v>
      </c>
      <c r="C125" s="339"/>
      <c r="D125" s="339"/>
      <c r="E125" s="339"/>
    </row>
    <row r="126" spans="2:5" ht="15" customHeight="1">
      <c r="B126" s="339" t="s">
        <v>259</v>
      </c>
      <c r="C126" s="339"/>
      <c r="D126" s="339"/>
      <c r="E126" s="339"/>
    </row>
    <row r="127" spans="2:5" ht="15" customHeight="1">
      <c r="B127" s="32"/>
      <c r="C127" s="270" t="s">
        <v>260</v>
      </c>
      <c r="D127" s="270"/>
      <c r="E127" s="270"/>
    </row>
    <row r="128" spans="2:5" ht="15" customHeight="1">
      <c r="B128" s="32"/>
      <c r="C128" s="323" t="s">
        <v>261</v>
      </c>
      <c r="D128" s="324"/>
      <c r="E128" s="325"/>
    </row>
    <row r="129" spans="2:5" ht="15" customHeight="1">
      <c r="B129" s="339" t="s">
        <v>263</v>
      </c>
      <c r="C129" s="339"/>
      <c r="D129" s="339"/>
      <c r="E129" s="339"/>
    </row>
    <row r="130" spans="2:5" ht="15" customHeight="1">
      <c r="B130" s="339" t="s">
        <v>264</v>
      </c>
      <c r="C130" s="339"/>
      <c r="D130" s="339"/>
      <c r="E130" s="339"/>
    </row>
    <row r="131" spans="2:5" ht="15" customHeight="1">
      <c r="B131" s="339" t="s">
        <v>262</v>
      </c>
      <c r="C131" s="339"/>
      <c r="D131" s="339"/>
      <c r="E131" s="339"/>
    </row>
    <row r="132" ht="12.75">
      <c r="E132" s="21"/>
    </row>
    <row r="133" ht="12.75">
      <c r="E133" s="21"/>
    </row>
    <row r="134" ht="12.75">
      <c r="E134" s="21"/>
    </row>
    <row r="135" ht="12.75">
      <c r="E135" s="33"/>
    </row>
    <row r="136" ht="12.75">
      <c r="E136" s="33"/>
    </row>
    <row r="137" ht="12.75">
      <c r="E137" s="33"/>
    </row>
  </sheetData>
  <sheetProtection/>
  <mergeCells count="46">
    <mergeCell ref="A25:D25"/>
    <mergeCell ref="A30:D30"/>
    <mergeCell ref="B1:E1"/>
    <mergeCell ref="A5:D5"/>
    <mergeCell ref="A12:D12"/>
    <mergeCell ref="A17:D17"/>
    <mergeCell ref="B3:C3"/>
    <mergeCell ref="B4:C4"/>
    <mergeCell ref="A64:D64"/>
    <mergeCell ref="B131:E131"/>
    <mergeCell ref="B121:E121"/>
    <mergeCell ref="B122:E122"/>
    <mergeCell ref="B123:E123"/>
    <mergeCell ref="B124:E124"/>
    <mergeCell ref="B129:E129"/>
    <mergeCell ref="B130:E130"/>
    <mergeCell ref="B125:E125"/>
    <mergeCell ref="C128:E128"/>
    <mergeCell ref="B79:D79"/>
    <mergeCell ref="B82:D82"/>
    <mergeCell ref="B83:D83"/>
    <mergeCell ref="B84:D84"/>
    <mergeCell ref="A33:D33"/>
    <mergeCell ref="A35:D35"/>
    <mergeCell ref="B77:D77"/>
    <mergeCell ref="A48:D48"/>
    <mergeCell ref="A49:D49"/>
    <mergeCell ref="A62:D62"/>
    <mergeCell ref="B85:D85"/>
    <mergeCell ref="B80:D80"/>
    <mergeCell ref="B81:D81"/>
    <mergeCell ref="B89:D89"/>
    <mergeCell ref="B78:D78"/>
    <mergeCell ref="A68:D68"/>
    <mergeCell ref="A75:D75"/>
    <mergeCell ref="A76:D76"/>
    <mergeCell ref="B86:D86"/>
    <mergeCell ref="B87:D87"/>
    <mergeCell ref="C127:E127"/>
    <mergeCell ref="B92:D92"/>
    <mergeCell ref="B93:D93"/>
    <mergeCell ref="B88:D88"/>
    <mergeCell ref="B94:D94"/>
    <mergeCell ref="B91:D91"/>
    <mergeCell ref="B90:D90"/>
    <mergeCell ref="B126:E126"/>
  </mergeCells>
  <printOptions/>
  <pageMargins left="0.3937007874015748" right="0.15748031496062992" top="0.3937007874015748" bottom="0.2362204724409449" header="0.2362204724409449" footer="0.15748031496062992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8"/>
  <sheetViews>
    <sheetView zoomScalePageLayoutView="0" workbookViewId="0" topLeftCell="A1">
      <selection activeCell="E103" sqref="A1:E103"/>
    </sheetView>
  </sheetViews>
  <sheetFormatPr defaultColWidth="13.421875" defaultRowHeight="12.75" outlineLevelRow="2"/>
  <cols>
    <col min="1" max="1" width="2.8515625" style="1" customWidth="1"/>
    <col min="2" max="2" width="11.8515625" style="1" customWidth="1"/>
    <col min="3" max="3" width="14.7109375" style="1" customWidth="1"/>
    <col min="4" max="4" width="70.574218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.75" thickBot="1">
      <c r="A1" s="42"/>
      <c r="B1" s="333" t="s">
        <v>2211</v>
      </c>
      <c r="C1" s="334"/>
      <c r="D1" s="334"/>
      <c r="E1" s="335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5">
      <c r="A3" s="91"/>
      <c r="B3" s="308"/>
      <c r="C3" s="308"/>
      <c r="D3" s="155" t="s">
        <v>1575</v>
      </c>
      <c r="E3" s="130">
        <f>E4+E6+E8</f>
        <v>55296.69</v>
      </c>
    </row>
    <row r="4" spans="1:5" ht="13.5" customHeight="1" outlineLevel="1">
      <c r="A4" s="255" t="s">
        <v>1576</v>
      </c>
      <c r="B4" s="256"/>
      <c r="C4" s="256"/>
      <c r="D4" s="257"/>
      <c r="E4" s="105">
        <f>SUM(E5:E5)</f>
        <v>38930</v>
      </c>
    </row>
    <row r="5" spans="1:6" ht="15" outlineLevel="2">
      <c r="A5" s="81"/>
      <c r="B5" s="84" t="s">
        <v>2397</v>
      </c>
      <c r="C5" s="84" t="s">
        <v>1580</v>
      </c>
      <c r="D5" s="84" t="s">
        <v>2396</v>
      </c>
      <c r="E5" s="106">
        <v>38930</v>
      </c>
      <c r="F5" s="14"/>
    </row>
    <row r="6" spans="1:5" ht="15.75" customHeight="1" outlineLevel="1">
      <c r="A6" s="317" t="s">
        <v>1591</v>
      </c>
      <c r="B6" s="318"/>
      <c r="C6" s="318"/>
      <c r="D6" s="319"/>
      <c r="E6" s="105">
        <f>SUM(E7:E7)</f>
        <v>6951.75</v>
      </c>
    </row>
    <row r="7" spans="1:6" ht="15" outlineLevel="2">
      <c r="A7" s="81"/>
      <c r="B7" s="84" t="s">
        <v>1568</v>
      </c>
      <c r="C7" s="84" t="s">
        <v>1579</v>
      </c>
      <c r="D7" s="84" t="s">
        <v>1569</v>
      </c>
      <c r="E7" s="106">
        <v>6951.75</v>
      </c>
      <c r="F7" s="14"/>
    </row>
    <row r="8" spans="1:5" ht="13.5" customHeight="1" outlineLevel="1">
      <c r="A8" s="255" t="s">
        <v>1593</v>
      </c>
      <c r="B8" s="256"/>
      <c r="C8" s="256"/>
      <c r="D8" s="257"/>
      <c r="E8" s="105">
        <f>SUM(E9:E9)</f>
        <v>9414.94</v>
      </c>
    </row>
    <row r="9" spans="1:6" ht="15" outlineLevel="2">
      <c r="A9" s="81"/>
      <c r="B9" s="84" t="s">
        <v>1133</v>
      </c>
      <c r="C9" s="84" t="s">
        <v>1587</v>
      </c>
      <c r="D9" s="84" t="s">
        <v>1135</v>
      </c>
      <c r="E9" s="106">
        <v>9414.94</v>
      </c>
      <c r="F9" s="14"/>
    </row>
    <row r="10" spans="1:5" ht="13.5" customHeight="1">
      <c r="A10" s="91"/>
      <c r="B10" s="308"/>
      <c r="C10" s="308"/>
      <c r="D10" s="155" t="s">
        <v>1600</v>
      </c>
      <c r="E10" s="130">
        <f>E11+E18+E21+E33+E37+E40+E43+E56+E57+E67+E69+E77+E84+E85</f>
        <v>215300.57</v>
      </c>
    </row>
    <row r="11" spans="1:5" ht="12.75" customHeight="1" outlineLevel="1">
      <c r="A11" s="255" t="s">
        <v>1576</v>
      </c>
      <c r="B11" s="256"/>
      <c r="C11" s="256"/>
      <c r="D11" s="257"/>
      <c r="E11" s="105">
        <f>E12+E13+E14+E15+E16+E17</f>
        <v>9247.259999999998</v>
      </c>
    </row>
    <row r="12" spans="1:6" ht="15" outlineLevel="2">
      <c r="A12" s="42"/>
      <c r="B12" s="83" t="s">
        <v>878</v>
      </c>
      <c r="C12" s="83" t="s">
        <v>1579</v>
      </c>
      <c r="D12" s="83" t="s">
        <v>2302</v>
      </c>
      <c r="E12" s="106">
        <v>5775.3</v>
      </c>
      <c r="F12" s="14"/>
    </row>
    <row r="13" spans="1:6" ht="15" outlineLevel="2">
      <c r="A13" s="42"/>
      <c r="B13" s="83" t="s">
        <v>2</v>
      </c>
      <c r="C13" s="83" t="s">
        <v>1580</v>
      </c>
      <c r="D13" s="83" t="s">
        <v>2277</v>
      </c>
      <c r="E13" s="106">
        <v>21.69</v>
      </c>
      <c r="F13" s="14"/>
    </row>
    <row r="14" spans="1:6" ht="15" outlineLevel="2">
      <c r="A14" s="42"/>
      <c r="B14" s="83" t="s">
        <v>137</v>
      </c>
      <c r="C14" s="83" t="s">
        <v>1580</v>
      </c>
      <c r="D14" s="83" t="s">
        <v>1119</v>
      </c>
      <c r="E14" s="106">
        <v>2173.39</v>
      </c>
      <c r="F14" s="14"/>
    </row>
    <row r="15" spans="1:6" ht="26.25" customHeight="1" outlineLevel="2">
      <c r="A15" s="42"/>
      <c r="B15" s="83" t="s">
        <v>508</v>
      </c>
      <c r="C15" s="83" t="s">
        <v>1582</v>
      </c>
      <c r="D15" s="83" t="s">
        <v>509</v>
      </c>
      <c r="E15" s="106">
        <v>119.8</v>
      </c>
      <c r="F15" s="14"/>
    </row>
    <row r="16" spans="1:6" ht="15" outlineLevel="2">
      <c r="A16" s="42"/>
      <c r="B16" s="83" t="s">
        <v>1033</v>
      </c>
      <c r="C16" s="83" t="s">
        <v>1583</v>
      </c>
      <c r="D16" s="83" t="s">
        <v>509</v>
      </c>
      <c r="E16" s="106">
        <v>1076.93</v>
      </c>
      <c r="F16" s="14"/>
    </row>
    <row r="17" spans="1:6" ht="15" outlineLevel="2">
      <c r="A17" s="42"/>
      <c r="B17" s="83" t="s">
        <v>2</v>
      </c>
      <c r="C17" s="83" t="s">
        <v>1583</v>
      </c>
      <c r="D17" s="83" t="s">
        <v>855</v>
      </c>
      <c r="E17" s="106">
        <v>80.15</v>
      </c>
      <c r="F17" s="14"/>
    </row>
    <row r="18" spans="1:5" ht="13.5" customHeight="1" outlineLevel="1">
      <c r="A18" s="255" t="s">
        <v>1589</v>
      </c>
      <c r="B18" s="256"/>
      <c r="C18" s="256"/>
      <c r="D18" s="257"/>
      <c r="E18" s="105">
        <f>E19+E20</f>
        <v>6906.54</v>
      </c>
    </row>
    <row r="19" spans="1:6" ht="15" outlineLevel="2">
      <c r="A19" s="42"/>
      <c r="B19" s="83" t="s">
        <v>1489</v>
      </c>
      <c r="C19" s="83" t="s">
        <v>1580</v>
      </c>
      <c r="D19" s="83" t="s">
        <v>1626</v>
      </c>
      <c r="E19" s="106">
        <v>971.22</v>
      </c>
      <c r="F19" s="14"/>
    </row>
    <row r="20" spans="1:6" ht="15" outlineLevel="2">
      <c r="A20" s="42"/>
      <c r="B20" s="83" t="s">
        <v>42</v>
      </c>
      <c r="C20" s="83" t="s">
        <v>1583</v>
      </c>
      <c r="D20" s="83" t="s">
        <v>158</v>
      </c>
      <c r="E20" s="106">
        <v>5935.32</v>
      </c>
      <c r="F20" s="14"/>
    </row>
    <row r="21" spans="1:5" ht="15" customHeight="1" outlineLevel="1">
      <c r="A21" s="255" t="s">
        <v>1590</v>
      </c>
      <c r="B21" s="256"/>
      <c r="C21" s="256"/>
      <c r="D21" s="257"/>
      <c r="E21" s="105">
        <f>E22+E23+E24+E25+E26+E27+E28+E29+E30+E31+E32</f>
        <v>37596.270000000004</v>
      </c>
    </row>
    <row r="22" spans="1:6" ht="17.25" customHeight="1" outlineLevel="2">
      <c r="A22" s="42"/>
      <c r="B22" s="88" t="s">
        <v>2</v>
      </c>
      <c r="C22" s="82" t="s">
        <v>1577</v>
      </c>
      <c r="D22" s="82" t="s">
        <v>1724</v>
      </c>
      <c r="E22" s="106">
        <v>100.3</v>
      </c>
      <c r="F22" s="14"/>
    </row>
    <row r="23" spans="1:6" ht="15" outlineLevel="2">
      <c r="A23" s="42"/>
      <c r="B23" s="87" t="s">
        <v>14</v>
      </c>
      <c r="C23" s="83" t="s">
        <v>1579</v>
      </c>
      <c r="D23" s="83" t="s">
        <v>2176</v>
      </c>
      <c r="E23" s="106">
        <v>328</v>
      </c>
      <c r="F23" s="14"/>
    </row>
    <row r="24" spans="1:6" ht="15" outlineLevel="2">
      <c r="A24" s="42"/>
      <c r="B24" s="87" t="s">
        <v>1701</v>
      </c>
      <c r="C24" s="83" t="s">
        <v>1580</v>
      </c>
      <c r="D24" s="83" t="s">
        <v>1063</v>
      </c>
      <c r="E24" s="106">
        <v>4158.5</v>
      </c>
      <c r="F24" s="14"/>
    </row>
    <row r="25" spans="1:6" ht="15" outlineLevel="2">
      <c r="A25" s="42"/>
      <c r="B25" s="87" t="s">
        <v>2</v>
      </c>
      <c r="C25" s="83" t="s">
        <v>1581</v>
      </c>
      <c r="D25" s="83" t="s">
        <v>940</v>
      </c>
      <c r="E25" s="106">
        <v>165.51</v>
      </c>
      <c r="F25" s="14"/>
    </row>
    <row r="26" spans="1:6" ht="15" outlineLevel="2">
      <c r="A26" s="42"/>
      <c r="B26" s="87" t="s">
        <v>1695</v>
      </c>
      <c r="C26" s="83" t="s">
        <v>1583</v>
      </c>
      <c r="D26" s="83" t="s">
        <v>1325</v>
      </c>
      <c r="E26" s="106">
        <v>2639.14</v>
      </c>
      <c r="F26" s="14"/>
    </row>
    <row r="27" spans="1:6" ht="15" outlineLevel="2">
      <c r="A27" s="42"/>
      <c r="B27" s="87" t="s">
        <v>2</v>
      </c>
      <c r="C27" s="83" t="s">
        <v>1583</v>
      </c>
      <c r="D27" s="83" t="s">
        <v>760</v>
      </c>
      <c r="E27" s="106">
        <v>5292</v>
      </c>
      <c r="F27" s="14"/>
    </row>
    <row r="28" spans="1:6" ht="15" outlineLevel="2">
      <c r="A28" s="42"/>
      <c r="B28" s="87" t="s">
        <v>33</v>
      </c>
      <c r="C28" s="83" t="s">
        <v>1584</v>
      </c>
      <c r="D28" s="83" t="s">
        <v>702</v>
      </c>
      <c r="E28" s="106">
        <v>1995.6</v>
      </c>
      <c r="F28" s="14"/>
    </row>
    <row r="29" spans="1:6" ht="30" outlineLevel="2">
      <c r="A29" s="42"/>
      <c r="B29" s="87" t="s">
        <v>192</v>
      </c>
      <c r="C29" s="83" t="s">
        <v>1586</v>
      </c>
      <c r="D29" s="83" t="s">
        <v>783</v>
      </c>
      <c r="E29" s="106">
        <v>1470.65</v>
      </c>
      <c r="F29" s="14"/>
    </row>
    <row r="30" spans="1:6" ht="15" outlineLevel="2">
      <c r="A30" s="42"/>
      <c r="B30" s="87" t="s">
        <v>1199</v>
      </c>
      <c r="C30" s="83" t="s">
        <v>1587</v>
      </c>
      <c r="D30" s="83" t="s">
        <v>1179</v>
      </c>
      <c r="E30" s="106">
        <v>45.53</v>
      </c>
      <c r="F30" s="14"/>
    </row>
    <row r="31" spans="1:6" ht="15" outlineLevel="2">
      <c r="A31" s="42"/>
      <c r="B31" s="87" t="s">
        <v>1941</v>
      </c>
      <c r="C31" s="83" t="s">
        <v>1588</v>
      </c>
      <c r="D31" s="83" t="s">
        <v>1942</v>
      </c>
      <c r="E31" s="106">
        <v>1300.04</v>
      </c>
      <c r="F31" s="14"/>
    </row>
    <row r="32" spans="1:6" ht="45" outlineLevel="2">
      <c r="A32" s="42"/>
      <c r="B32" s="87" t="s">
        <v>1604</v>
      </c>
      <c r="C32" s="83" t="s">
        <v>1588</v>
      </c>
      <c r="D32" s="83" t="s">
        <v>1370</v>
      </c>
      <c r="E32" s="106">
        <v>20101</v>
      </c>
      <c r="F32" s="14"/>
    </row>
    <row r="33" spans="1:5" ht="15" customHeight="1" outlineLevel="1">
      <c r="A33" s="255" t="s">
        <v>1591</v>
      </c>
      <c r="B33" s="256"/>
      <c r="C33" s="256"/>
      <c r="D33" s="257"/>
      <c r="E33" s="105">
        <f>E34+E35+E36</f>
        <v>3976.51</v>
      </c>
    </row>
    <row r="34" spans="1:6" ht="15" outlineLevel="2">
      <c r="A34" s="42"/>
      <c r="B34" s="88" t="s">
        <v>1064</v>
      </c>
      <c r="C34" s="82" t="s">
        <v>1579</v>
      </c>
      <c r="D34" s="82" t="s">
        <v>602</v>
      </c>
      <c r="E34" s="106">
        <v>1079.9</v>
      </c>
      <c r="F34" s="14"/>
    </row>
    <row r="35" spans="1:6" ht="15" outlineLevel="2">
      <c r="A35" s="42"/>
      <c r="B35" s="87" t="s">
        <v>93</v>
      </c>
      <c r="C35" s="83" t="s">
        <v>1580</v>
      </c>
      <c r="D35" s="83" t="s">
        <v>926</v>
      </c>
      <c r="E35" s="106">
        <v>710.61</v>
      </c>
      <c r="F35" s="14"/>
    </row>
    <row r="36" spans="1:6" ht="12" customHeight="1" outlineLevel="2">
      <c r="A36" s="42"/>
      <c r="B36" s="87" t="s">
        <v>1541</v>
      </c>
      <c r="C36" s="83" t="s">
        <v>1585</v>
      </c>
      <c r="D36" s="83" t="s">
        <v>1542</v>
      </c>
      <c r="E36" s="106">
        <v>2186</v>
      </c>
      <c r="F36" s="14"/>
    </row>
    <row r="37" spans="1:5" ht="13.5" customHeight="1" outlineLevel="1">
      <c r="A37" s="255" t="s">
        <v>1594</v>
      </c>
      <c r="B37" s="256"/>
      <c r="C37" s="256"/>
      <c r="D37" s="257"/>
      <c r="E37" s="105">
        <f>E38+E39</f>
        <v>62132.58</v>
      </c>
    </row>
    <row r="38" spans="1:6" ht="15" outlineLevel="2">
      <c r="A38" s="42"/>
      <c r="B38" s="87" t="s">
        <v>1980</v>
      </c>
      <c r="C38" s="83" t="s">
        <v>1585</v>
      </c>
      <c r="D38" s="83" t="s">
        <v>1643</v>
      </c>
      <c r="E38" s="106">
        <v>8502.58</v>
      </c>
      <c r="F38" s="14"/>
    </row>
    <row r="39" spans="1:6" ht="15" outlineLevel="2">
      <c r="A39" s="42"/>
      <c r="B39" s="87" t="s">
        <v>790</v>
      </c>
      <c r="C39" s="83" t="s">
        <v>1585</v>
      </c>
      <c r="D39" s="83" t="s">
        <v>791</v>
      </c>
      <c r="E39" s="106">
        <v>53630</v>
      </c>
      <c r="F39" s="14"/>
    </row>
    <row r="40" spans="1:5" ht="13.5" customHeight="1" outlineLevel="1">
      <c r="A40" s="255" t="s">
        <v>1599</v>
      </c>
      <c r="B40" s="256"/>
      <c r="C40" s="256"/>
      <c r="D40" s="257"/>
      <c r="E40" s="105">
        <f>E41+E42</f>
        <v>4982.66</v>
      </c>
    </row>
    <row r="41" spans="1:6" ht="15" outlineLevel="2">
      <c r="A41" s="42"/>
      <c r="B41" s="83" t="s">
        <v>454</v>
      </c>
      <c r="C41" s="83" t="s">
        <v>1581</v>
      </c>
      <c r="D41" s="83" t="s">
        <v>1405</v>
      </c>
      <c r="E41" s="106">
        <v>1875.59</v>
      </c>
      <c r="F41" s="14"/>
    </row>
    <row r="42" spans="1:6" ht="15" outlineLevel="2">
      <c r="A42" s="42"/>
      <c r="B42" s="83" t="s">
        <v>1260</v>
      </c>
      <c r="C42" s="83" t="s">
        <v>1583</v>
      </c>
      <c r="D42" s="83" t="s">
        <v>955</v>
      </c>
      <c r="E42" s="106">
        <v>3107.07</v>
      </c>
      <c r="F42" s="14"/>
    </row>
    <row r="43" spans="1:5" ht="14.25" customHeight="1" outlineLevel="1">
      <c r="A43" s="255" t="s">
        <v>1713</v>
      </c>
      <c r="B43" s="256"/>
      <c r="C43" s="256"/>
      <c r="D43" s="257"/>
      <c r="E43" s="105">
        <f>E44+E45+E46+E47+E48+E49+E50+E51+E52+E53+E54+E55</f>
        <v>45883.81000000001</v>
      </c>
    </row>
    <row r="44" spans="1:6" ht="15" outlineLevel="2">
      <c r="A44" s="42"/>
      <c r="B44" s="82"/>
      <c r="C44" s="82" t="s">
        <v>1577</v>
      </c>
      <c r="D44" s="82" t="s">
        <v>1496</v>
      </c>
      <c r="E44" s="106">
        <v>3917.01</v>
      </c>
      <c r="F44" s="14"/>
    </row>
    <row r="45" spans="1:6" ht="15" outlineLevel="2">
      <c r="A45" s="42"/>
      <c r="B45" s="83"/>
      <c r="C45" s="83" t="s">
        <v>1578</v>
      </c>
      <c r="D45" s="83" t="s">
        <v>1496</v>
      </c>
      <c r="E45" s="106">
        <v>3917.01</v>
      </c>
      <c r="F45" s="14"/>
    </row>
    <row r="46" spans="1:6" ht="15" outlineLevel="2">
      <c r="A46" s="42"/>
      <c r="B46" s="83"/>
      <c r="C46" s="83" t="s">
        <v>1579</v>
      </c>
      <c r="D46" s="83" t="s">
        <v>1496</v>
      </c>
      <c r="E46" s="106">
        <v>3917.01</v>
      </c>
      <c r="F46" s="14"/>
    </row>
    <row r="47" spans="1:6" ht="15" outlineLevel="2">
      <c r="A47" s="42"/>
      <c r="B47" s="83"/>
      <c r="C47" s="83" t="s">
        <v>1580</v>
      </c>
      <c r="D47" s="83" t="s">
        <v>1496</v>
      </c>
      <c r="E47" s="106">
        <v>3917.01</v>
      </c>
      <c r="F47" s="14"/>
    </row>
    <row r="48" spans="1:6" ht="15" outlineLevel="2">
      <c r="A48" s="42"/>
      <c r="B48" s="83"/>
      <c r="C48" s="83" t="s">
        <v>1581</v>
      </c>
      <c r="D48" s="83" t="s">
        <v>1496</v>
      </c>
      <c r="E48" s="106">
        <v>3460.58</v>
      </c>
      <c r="F48" s="14"/>
    </row>
    <row r="49" spans="1:6" ht="15" outlineLevel="2">
      <c r="A49" s="42"/>
      <c r="B49" s="83"/>
      <c r="C49" s="83" t="s">
        <v>1582</v>
      </c>
      <c r="D49" s="83" t="s">
        <v>1496</v>
      </c>
      <c r="E49" s="106">
        <v>3751.04</v>
      </c>
      <c r="F49" s="14"/>
    </row>
    <row r="50" spans="1:6" ht="15" outlineLevel="2">
      <c r="A50" s="42"/>
      <c r="B50" s="83"/>
      <c r="C50" s="83" t="s">
        <v>1583</v>
      </c>
      <c r="D50" s="83" t="s">
        <v>1496</v>
      </c>
      <c r="E50" s="106">
        <v>3751.04</v>
      </c>
      <c r="F50" s="14"/>
    </row>
    <row r="51" spans="1:6" ht="15" outlineLevel="2">
      <c r="A51" s="42"/>
      <c r="B51" s="83"/>
      <c r="C51" s="83" t="s">
        <v>1584</v>
      </c>
      <c r="D51" s="83" t="s">
        <v>1496</v>
      </c>
      <c r="E51" s="106">
        <v>3751.04</v>
      </c>
      <c r="F51" s="14"/>
    </row>
    <row r="52" spans="1:6" ht="15" outlineLevel="2">
      <c r="A52" s="42"/>
      <c r="B52" s="83"/>
      <c r="C52" s="83" t="s">
        <v>1585</v>
      </c>
      <c r="D52" s="83" t="s">
        <v>1496</v>
      </c>
      <c r="E52" s="106">
        <v>3751.04</v>
      </c>
      <c r="F52" s="14"/>
    </row>
    <row r="53" spans="1:6" ht="15" outlineLevel="2">
      <c r="A53" s="42"/>
      <c r="B53" s="83"/>
      <c r="C53" s="83" t="s">
        <v>1586</v>
      </c>
      <c r="D53" s="83" t="s">
        <v>1496</v>
      </c>
      <c r="E53" s="106">
        <v>3917.01</v>
      </c>
      <c r="F53" s="14"/>
    </row>
    <row r="54" spans="1:6" ht="15" outlineLevel="2">
      <c r="A54" s="42"/>
      <c r="B54" s="83"/>
      <c r="C54" s="83" t="s">
        <v>1587</v>
      </c>
      <c r="D54" s="83" t="s">
        <v>1496</v>
      </c>
      <c r="E54" s="106">
        <v>3917.01</v>
      </c>
      <c r="F54" s="14"/>
    </row>
    <row r="55" spans="1:6" ht="15" outlineLevel="2">
      <c r="A55" s="42"/>
      <c r="B55" s="89"/>
      <c r="C55" s="83" t="s">
        <v>1588</v>
      </c>
      <c r="D55" s="83" t="s">
        <v>1496</v>
      </c>
      <c r="E55" s="106">
        <v>3917.01</v>
      </c>
      <c r="F55" s="14"/>
    </row>
    <row r="56" spans="1:5" ht="13.5" customHeight="1" outlineLevel="1">
      <c r="A56" s="255" t="s">
        <v>1714</v>
      </c>
      <c r="B56" s="256"/>
      <c r="C56" s="256"/>
      <c r="D56" s="257"/>
      <c r="E56" s="105">
        <f>1.46*1106.5*12</f>
        <v>19385.88</v>
      </c>
    </row>
    <row r="57" spans="1:5" ht="13.5" customHeight="1" outlineLevel="1">
      <c r="A57" s="255" t="s">
        <v>1715</v>
      </c>
      <c r="B57" s="256"/>
      <c r="C57" s="256"/>
      <c r="D57" s="257"/>
      <c r="E57" s="105">
        <f>SUM(E58:E66)</f>
        <v>4988.62</v>
      </c>
    </row>
    <row r="58" spans="1:6" ht="16.5" customHeight="1" outlineLevel="2">
      <c r="A58" s="42"/>
      <c r="B58" s="83" t="s">
        <v>87</v>
      </c>
      <c r="C58" s="83" t="s">
        <v>1578</v>
      </c>
      <c r="D58" s="83" t="s">
        <v>88</v>
      </c>
      <c r="E58" s="106">
        <v>1007</v>
      </c>
      <c r="F58" s="14"/>
    </row>
    <row r="59" spans="1:6" ht="15" outlineLevel="2">
      <c r="A59" s="42"/>
      <c r="B59" s="83" t="s">
        <v>2</v>
      </c>
      <c r="C59" s="83" t="s">
        <v>1578</v>
      </c>
      <c r="D59" s="83" t="s">
        <v>1495</v>
      </c>
      <c r="E59" s="106">
        <v>106.08</v>
      </c>
      <c r="F59" s="14"/>
    </row>
    <row r="60" spans="1:6" ht="15" outlineLevel="2">
      <c r="A60" s="42"/>
      <c r="B60" s="83" t="s">
        <v>1969</v>
      </c>
      <c r="C60" s="83" t="s">
        <v>1579</v>
      </c>
      <c r="D60" s="83" t="s">
        <v>2233</v>
      </c>
      <c r="E60" s="106">
        <v>319.17</v>
      </c>
      <c r="F60" s="14"/>
    </row>
    <row r="61" spans="1:6" ht="15" outlineLevel="2">
      <c r="A61" s="42"/>
      <c r="B61" s="83" t="s">
        <v>139</v>
      </c>
      <c r="C61" s="83" t="s">
        <v>1580</v>
      </c>
      <c r="D61" s="83" t="s">
        <v>2233</v>
      </c>
      <c r="E61" s="106">
        <v>578.08</v>
      </c>
      <c r="F61" s="14"/>
    </row>
    <row r="62" spans="1:6" ht="15" outlineLevel="2">
      <c r="A62" s="42"/>
      <c r="B62" s="83" t="s">
        <v>53</v>
      </c>
      <c r="C62" s="83" t="s">
        <v>1583</v>
      </c>
      <c r="D62" s="83" t="s">
        <v>110</v>
      </c>
      <c r="E62" s="106">
        <v>786.38</v>
      </c>
      <c r="F62" s="14"/>
    </row>
    <row r="63" spans="1:6" ht="18" customHeight="1" outlineLevel="2">
      <c r="A63" s="42"/>
      <c r="B63" s="83" t="s">
        <v>1033</v>
      </c>
      <c r="C63" s="83" t="s">
        <v>1584</v>
      </c>
      <c r="D63" s="83" t="s">
        <v>762</v>
      </c>
      <c r="E63" s="106">
        <v>621.47</v>
      </c>
      <c r="F63" s="14"/>
    </row>
    <row r="64" spans="1:6" ht="15" outlineLevel="2">
      <c r="A64" s="42"/>
      <c r="B64" s="83" t="s">
        <v>536</v>
      </c>
      <c r="C64" s="83" t="s">
        <v>1586</v>
      </c>
      <c r="D64" s="83" t="s">
        <v>110</v>
      </c>
      <c r="E64" s="106">
        <v>1063.13</v>
      </c>
      <c r="F64" s="14"/>
    </row>
    <row r="65" spans="1:6" ht="15" outlineLevel="2">
      <c r="A65" s="42"/>
      <c r="B65" s="83" t="s">
        <v>206</v>
      </c>
      <c r="C65" s="83" t="s">
        <v>1587</v>
      </c>
      <c r="D65" s="83" t="s">
        <v>207</v>
      </c>
      <c r="E65" s="106">
        <v>139.2</v>
      </c>
      <c r="F65" s="14"/>
    </row>
    <row r="66" spans="1:6" ht="15" outlineLevel="2">
      <c r="A66" s="42"/>
      <c r="B66" s="83" t="s">
        <v>1958</v>
      </c>
      <c r="C66" s="83" t="s">
        <v>1588</v>
      </c>
      <c r="D66" s="83" t="s">
        <v>1962</v>
      </c>
      <c r="E66" s="106">
        <v>368.11</v>
      </c>
      <c r="F66" s="14"/>
    </row>
    <row r="67" spans="1:5" ht="15.75" customHeight="1" outlineLevel="1">
      <c r="A67" s="255" t="s">
        <v>1716</v>
      </c>
      <c r="B67" s="256"/>
      <c r="C67" s="256"/>
      <c r="D67" s="257"/>
      <c r="E67" s="105">
        <f>SUM(E68:E68)</f>
        <v>957.1</v>
      </c>
    </row>
    <row r="68" spans="1:6" ht="15" outlineLevel="2">
      <c r="A68" s="42"/>
      <c r="B68" s="83" t="s">
        <v>55</v>
      </c>
      <c r="C68" s="83" t="s">
        <v>1584</v>
      </c>
      <c r="D68" s="83" t="s">
        <v>933</v>
      </c>
      <c r="E68" s="106">
        <v>957.1</v>
      </c>
      <c r="F68" s="14"/>
    </row>
    <row r="69" spans="1:5" ht="14.25" customHeight="1" outlineLevel="1">
      <c r="A69" s="255" t="s">
        <v>1595</v>
      </c>
      <c r="B69" s="256"/>
      <c r="C69" s="256"/>
      <c r="D69" s="257"/>
      <c r="E69" s="105">
        <f>SUM(E70:E76)</f>
        <v>12429.460000000001</v>
      </c>
    </row>
    <row r="70" spans="1:6" ht="15" outlineLevel="2">
      <c r="A70" s="42"/>
      <c r="B70" s="83" t="s">
        <v>2236</v>
      </c>
      <c r="C70" s="83" t="s">
        <v>1579</v>
      </c>
      <c r="D70" s="83" t="s">
        <v>2162</v>
      </c>
      <c r="E70" s="106">
        <v>370.01</v>
      </c>
      <c r="F70" s="14"/>
    </row>
    <row r="71" spans="1:6" ht="15" outlineLevel="2">
      <c r="A71" s="42"/>
      <c r="B71" s="83" t="s">
        <v>1992</v>
      </c>
      <c r="C71" s="83" t="s">
        <v>1579</v>
      </c>
      <c r="D71" s="83" t="s">
        <v>1993</v>
      </c>
      <c r="E71" s="106">
        <v>752.86</v>
      </c>
      <c r="F71" s="14"/>
    </row>
    <row r="72" spans="1:6" ht="15" outlineLevel="2">
      <c r="A72" s="42"/>
      <c r="B72" s="83" t="s">
        <v>323</v>
      </c>
      <c r="C72" s="83" t="s">
        <v>1579</v>
      </c>
      <c r="D72" s="83" t="s">
        <v>418</v>
      </c>
      <c r="E72" s="106">
        <v>107.92</v>
      </c>
      <c r="F72" s="14"/>
    </row>
    <row r="73" spans="1:6" ht="15" outlineLevel="2">
      <c r="A73" s="42"/>
      <c r="B73" s="83" t="s">
        <v>557</v>
      </c>
      <c r="C73" s="83" t="s">
        <v>1586</v>
      </c>
      <c r="D73" s="83" t="s">
        <v>556</v>
      </c>
      <c r="E73" s="106">
        <v>676.08</v>
      </c>
      <c r="F73" s="14"/>
    </row>
    <row r="74" spans="1:6" ht="15" outlineLevel="2">
      <c r="A74" s="42"/>
      <c r="B74" s="83" t="s">
        <v>1072</v>
      </c>
      <c r="C74" s="83" t="s">
        <v>1587</v>
      </c>
      <c r="D74" s="83" t="s">
        <v>1180</v>
      </c>
      <c r="E74" s="106">
        <v>575.52</v>
      </c>
      <c r="F74" s="14"/>
    </row>
    <row r="75" spans="1:6" ht="15" outlineLevel="2">
      <c r="A75" s="42"/>
      <c r="B75" s="83" t="s">
        <v>1192</v>
      </c>
      <c r="C75" s="83" t="s">
        <v>1587</v>
      </c>
      <c r="D75" s="83" t="s">
        <v>1196</v>
      </c>
      <c r="E75" s="106">
        <v>359.7</v>
      </c>
      <c r="F75" s="14"/>
    </row>
    <row r="76" spans="1:6" ht="15" outlineLevel="2">
      <c r="A76" s="42"/>
      <c r="B76" s="83" t="s">
        <v>917</v>
      </c>
      <c r="C76" s="83" t="s">
        <v>1588</v>
      </c>
      <c r="D76" s="83" t="s">
        <v>918</v>
      </c>
      <c r="E76" s="106">
        <v>9587.37</v>
      </c>
      <c r="F76" s="14"/>
    </row>
    <row r="77" spans="1:5" ht="13.5" customHeight="1" outlineLevel="1">
      <c r="A77" s="255" t="s">
        <v>1718</v>
      </c>
      <c r="B77" s="256"/>
      <c r="C77" s="256"/>
      <c r="D77" s="257"/>
      <c r="E77" s="105">
        <f>SUM(E78:E83)</f>
        <v>2319.42</v>
      </c>
    </row>
    <row r="78" spans="1:6" ht="15" outlineLevel="2">
      <c r="A78" s="42"/>
      <c r="B78" s="82" t="s">
        <v>1921</v>
      </c>
      <c r="C78" s="82" t="s">
        <v>1577</v>
      </c>
      <c r="D78" s="82" t="s">
        <v>354</v>
      </c>
      <c r="E78" s="106">
        <v>992.24</v>
      </c>
      <c r="F78" s="14"/>
    </row>
    <row r="79" spans="1:6" ht="15" outlineLevel="2">
      <c r="A79" s="42"/>
      <c r="B79" s="83" t="s">
        <v>2</v>
      </c>
      <c r="C79" s="83" t="s">
        <v>1577</v>
      </c>
      <c r="D79" s="83" t="s">
        <v>1722</v>
      </c>
      <c r="E79" s="106">
        <v>33.43</v>
      </c>
      <c r="F79" s="14"/>
    </row>
    <row r="80" spans="1:6" ht="15" outlineLevel="2">
      <c r="A80" s="42"/>
      <c r="B80" s="83" t="s">
        <v>2</v>
      </c>
      <c r="C80" s="83" t="s">
        <v>1577</v>
      </c>
      <c r="D80" s="83" t="s">
        <v>1897</v>
      </c>
      <c r="E80" s="106">
        <v>569.76</v>
      </c>
      <c r="F80" s="14"/>
    </row>
    <row r="81" spans="1:6" ht="15" outlineLevel="2">
      <c r="A81" s="42"/>
      <c r="B81" s="83" t="s">
        <v>2</v>
      </c>
      <c r="C81" s="83" t="s">
        <v>57</v>
      </c>
      <c r="D81" s="83" t="s">
        <v>717</v>
      </c>
      <c r="E81" s="106">
        <v>33.8</v>
      </c>
      <c r="F81" s="14"/>
    </row>
    <row r="82" spans="1:6" ht="15" outlineLevel="2">
      <c r="A82" s="42"/>
      <c r="B82" s="83" t="s">
        <v>2</v>
      </c>
      <c r="C82" s="83" t="s">
        <v>1581</v>
      </c>
      <c r="D82" s="83" t="s">
        <v>2390</v>
      </c>
      <c r="E82" s="106">
        <v>555.79</v>
      </c>
      <c r="F82" s="14"/>
    </row>
    <row r="83" spans="1:6" ht="15" outlineLevel="2">
      <c r="A83" s="42"/>
      <c r="B83" s="84" t="s">
        <v>2</v>
      </c>
      <c r="C83" s="84" t="s">
        <v>57</v>
      </c>
      <c r="D83" s="84" t="s">
        <v>936</v>
      </c>
      <c r="E83" s="106">
        <v>134.4</v>
      </c>
      <c r="F83" s="14"/>
    </row>
    <row r="84" spans="1:6" ht="13.5" customHeight="1" outlineLevel="2">
      <c r="A84" s="255" t="s">
        <v>0</v>
      </c>
      <c r="B84" s="256"/>
      <c r="C84" s="256"/>
      <c r="D84" s="257"/>
      <c r="E84" s="105">
        <f>0.1*1106.5*12</f>
        <v>1327.8000000000002</v>
      </c>
      <c r="F84" s="14"/>
    </row>
    <row r="85" spans="1:6" ht="14.25" customHeight="1" outlineLevel="2">
      <c r="A85" s="255" t="s">
        <v>1369</v>
      </c>
      <c r="B85" s="256"/>
      <c r="C85" s="256"/>
      <c r="D85" s="257"/>
      <c r="E85" s="105">
        <v>3166.66</v>
      </c>
      <c r="F85" s="14"/>
    </row>
    <row r="86" spans="1:6" ht="15">
      <c r="A86" s="42"/>
      <c r="B86" s="273" t="s">
        <v>255</v>
      </c>
      <c r="C86" s="273"/>
      <c r="D86" s="273"/>
      <c r="E86" s="43">
        <f>0.94*1106.5*12</f>
        <v>12481.32</v>
      </c>
      <c r="F86" s="26"/>
    </row>
    <row r="87" spans="1:6" ht="13.5" customHeight="1">
      <c r="A87" s="42"/>
      <c r="B87" s="270" t="s">
        <v>59</v>
      </c>
      <c r="C87" s="270"/>
      <c r="D87" s="270"/>
      <c r="E87" s="43">
        <f>1.57*1106.5*12</f>
        <v>20846.460000000003</v>
      </c>
      <c r="F87" s="14"/>
    </row>
    <row r="88" spans="1:6" ht="15">
      <c r="A88" s="42"/>
      <c r="B88" s="270" t="s">
        <v>256</v>
      </c>
      <c r="C88" s="270"/>
      <c r="D88" s="270"/>
      <c r="E88" s="43">
        <f>10.3*(E90+E91)/100</f>
        <v>29335.82964</v>
      </c>
      <c r="F88" s="14"/>
    </row>
    <row r="89" spans="1:5" ht="15">
      <c r="A89" s="42">
        <v>1</v>
      </c>
      <c r="B89" s="272" t="s">
        <v>659</v>
      </c>
      <c r="C89" s="272"/>
      <c r="D89" s="272"/>
      <c r="E89" s="44">
        <f>E88+E87+E86+E10+E3</f>
        <v>333260.86964</v>
      </c>
    </row>
    <row r="90" spans="1:6" ht="15">
      <c r="A90" s="42">
        <v>2</v>
      </c>
      <c r="B90" s="270" t="s">
        <v>258</v>
      </c>
      <c r="C90" s="270"/>
      <c r="D90" s="270"/>
      <c r="E90" s="43">
        <v>250291.08</v>
      </c>
      <c r="F90" s="14"/>
    </row>
    <row r="91" spans="1:5" ht="15">
      <c r="A91" s="42">
        <v>3</v>
      </c>
      <c r="B91" s="270" t="s">
        <v>259</v>
      </c>
      <c r="C91" s="270"/>
      <c r="D91" s="270"/>
      <c r="E91" s="43">
        <v>34522.8</v>
      </c>
    </row>
    <row r="92" spans="1:5" ht="15">
      <c r="A92" s="42">
        <v>4</v>
      </c>
      <c r="B92" s="270" t="s">
        <v>660</v>
      </c>
      <c r="C92" s="270"/>
      <c r="D92" s="270"/>
      <c r="E92" s="43">
        <v>787772.66</v>
      </c>
    </row>
    <row r="93" spans="1:5" ht="15">
      <c r="A93" s="42">
        <v>5</v>
      </c>
      <c r="B93" s="270" t="s">
        <v>2340</v>
      </c>
      <c r="C93" s="270"/>
      <c r="D93" s="270"/>
      <c r="E93" s="43">
        <v>630428.24</v>
      </c>
    </row>
    <row r="94" spans="1:5" ht="15">
      <c r="A94" s="42">
        <v>6</v>
      </c>
      <c r="B94" s="272" t="s">
        <v>2341</v>
      </c>
      <c r="C94" s="272"/>
      <c r="D94" s="272"/>
      <c r="E94" s="44">
        <f>'[5]Мира 12'!$E$83+E89</f>
        <v>862875.43964</v>
      </c>
    </row>
    <row r="95" spans="1:5" ht="15">
      <c r="A95" s="42">
        <v>7</v>
      </c>
      <c r="B95" s="270" t="s">
        <v>732</v>
      </c>
      <c r="C95" s="270"/>
      <c r="D95" s="270"/>
      <c r="E95" s="43">
        <v>108083.1</v>
      </c>
    </row>
    <row r="96" spans="1:5" ht="15">
      <c r="A96" s="42">
        <v>8</v>
      </c>
      <c r="B96" s="270" t="s">
        <v>733</v>
      </c>
      <c r="C96" s="270"/>
      <c r="D96" s="270"/>
      <c r="E96" s="43">
        <v>86505.44</v>
      </c>
    </row>
    <row r="97" spans="1:5" ht="15">
      <c r="A97" s="42">
        <v>9</v>
      </c>
      <c r="B97" s="272" t="s">
        <v>734</v>
      </c>
      <c r="C97" s="272"/>
      <c r="D97" s="272"/>
      <c r="E97" s="44">
        <f>'[5]Мира 12'!$E$86</f>
        <v>0</v>
      </c>
    </row>
    <row r="98" spans="1:5" ht="15">
      <c r="A98" s="42">
        <v>10</v>
      </c>
      <c r="B98" s="270" t="s">
        <v>260</v>
      </c>
      <c r="C98" s="270"/>
      <c r="D98" s="270"/>
      <c r="E98" s="43">
        <v>209768.24</v>
      </c>
    </row>
    <row r="99" spans="1:5" ht="15">
      <c r="A99" s="42">
        <v>11</v>
      </c>
      <c r="B99" s="270" t="s">
        <v>735</v>
      </c>
      <c r="C99" s="270"/>
      <c r="D99" s="270"/>
      <c r="E99" s="43">
        <v>28933.46</v>
      </c>
    </row>
    <row r="100" spans="1:5" ht="15">
      <c r="A100" s="42">
        <v>12</v>
      </c>
      <c r="B100" s="272" t="s">
        <v>736</v>
      </c>
      <c r="C100" s="272"/>
      <c r="D100" s="272"/>
      <c r="E100" s="44">
        <v>0</v>
      </c>
    </row>
    <row r="101" spans="1:5" ht="21" customHeight="1">
      <c r="A101" s="42">
        <v>13</v>
      </c>
      <c r="B101" s="271" t="s">
        <v>2212</v>
      </c>
      <c r="C101" s="271"/>
      <c r="D101" s="271"/>
      <c r="E101" s="45">
        <f>E92-E94</f>
        <v>-75102.77963999996</v>
      </c>
    </row>
    <row r="102" spans="1:5" ht="18.75" customHeight="1">
      <c r="A102" s="42">
        <v>14</v>
      </c>
      <c r="B102" s="271" t="s">
        <v>2272</v>
      </c>
      <c r="C102" s="271"/>
      <c r="D102" s="271"/>
      <c r="E102" s="45">
        <f>E95-E97</f>
        <v>108083.1</v>
      </c>
    </row>
    <row r="103" spans="1:5" ht="30" customHeight="1">
      <c r="A103" s="42">
        <v>15</v>
      </c>
      <c r="B103" s="271" t="s">
        <v>2273</v>
      </c>
      <c r="C103" s="271"/>
      <c r="D103" s="271"/>
      <c r="E103" s="45">
        <f>E93-E94</f>
        <v>-232447.19964</v>
      </c>
    </row>
    <row r="104" ht="12.75">
      <c r="E104" s="39"/>
    </row>
    <row r="105" spans="1:5" ht="89.25">
      <c r="A105" s="12" t="s">
        <v>492</v>
      </c>
      <c r="E105" s="39"/>
    </row>
    <row r="106" spans="1:5" ht="76.5">
      <c r="A106" s="12" t="s">
        <v>493</v>
      </c>
      <c r="E106" s="39"/>
    </row>
    <row r="107" spans="1:5" ht="191.25">
      <c r="A107" s="12" t="s">
        <v>494</v>
      </c>
      <c r="E107" s="39"/>
    </row>
    <row r="108" spans="1:5" ht="76.5">
      <c r="A108" s="12" t="s">
        <v>495</v>
      </c>
      <c r="E108" s="39"/>
    </row>
  </sheetData>
  <sheetProtection/>
  <mergeCells count="38">
    <mergeCell ref="B94:D94"/>
    <mergeCell ref="B91:D91"/>
    <mergeCell ref="B86:D86"/>
    <mergeCell ref="B87:D87"/>
    <mergeCell ref="B93:D93"/>
    <mergeCell ref="B92:D92"/>
    <mergeCell ref="B90:D90"/>
    <mergeCell ref="B89:D89"/>
    <mergeCell ref="B88:D88"/>
    <mergeCell ref="B103:D103"/>
    <mergeCell ref="B95:D95"/>
    <mergeCell ref="B96:D96"/>
    <mergeCell ref="B97:D97"/>
    <mergeCell ref="B98:D98"/>
    <mergeCell ref="B101:D101"/>
    <mergeCell ref="B102:D102"/>
    <mergeCell ref="B99:D99"/>
    <mergeCell ref="B100:D100"/>
    <mergeCell ref="A85:D85"/>
    <mergeCell ref="A43:D43"/>
    <mergeCell ref="A56:D56"/>
    <mergeCell ref="A69:D69"/>
    <mergeCell ref="B10:C10"/>
    <mergeCell ref="A4:D4"/>
    <mergeCell ref="A18:D18"/>
    <mergeCell ref="A21:D21"/>
    <mergeCell ref="A33:D33"/>
    <mergeCell ref="A57:D57"/>
    <mergeCell ref="B1:E1"/>
    <mergeCell ref="A6:D6"/>
    <mergeCell ref="A8:D8"/>
    <mergeCell ref="A11:D11"/>
    <mergeCell ref="B3:C3"/>
    <mergeCell ref="A84:D84"/>
    <mergeCell ref="A67:D67"/>
    <mergeCell ref="A37:D37"/>
    <mergeCell ref="A40:D40"/>
    <mergeCell ref="A77:D77"/>
  </mergeCells>
  <printOptions/>
  <pageMargins left="0.3937007874015748" right="0.1968503937007874" top="0.3937007874015748" bottom="0.2755905511811024" header="0.1968503937007874" footer="0.1574803149606299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6"/>
  <sheetViews>
    <sheetView zoomScalePageLayoutView="0" workbookViewId="0" topLeftCell="A10">
      <selection activeCell="D9" sqref="D9"/>
    </sheetView>
  </sheetViews>
  <sheetFormatPr defaultColWidth="13.421875" defaultRowHeight="12.75" outlineLevelRow="2"/>
  <cols>
    <col min="1" max="1" width="1.28515625" style="42" customWidth="1"/>
    <col min="2" max="2" width="11.8515625" style="42" customWidth="1"/>
    <col min="3" max="3" width="10.421875" style="42" customWidth="1"/>
    <col min="4" max="4" width="55.421875" style="42" customWidth="1"/>
    <col min="5" max="5" width="14.57421875" style="42" customWidth="1"/>
    <col min="6" max="8" width="11.421875" style="42" customWidth="1"/>
    <col min="9" max="98" width="12.421875" style="42" customWidth="1"/>
    <col min="99" max="16384" width="13.421875" style="42" customWidth="1"/>
  </cols>
  <sheetData>
    <row r="1" spans="2:5" ht="15.75" thickBot="1">
      <c r="B1" s="333" t="s">
        <v>2213</v>
      </c>
      <c r="C1" s="334"/>
      <c r="D1" s="334"/>
      <c r="E1" s="335"/>
    </row>
    <row r="2" spans="2:6" ht="30">
      <c r="B2" s="101" t="s">
        <v>1570</v>
      </c>
      <c r="C2" s="102" t="s">
        <v>1571</v>
      </c>
      <c r="D2" s="103" t="s">
        <v>1572</v>
      </c>
      <c r="E2" s="104" t="s">
        <v>1573</v>
      </c>
      <c r="F2" s="143"/>
    </row>
    <row r="3" spans="1:5" ht="15">
      <c r="A3" s="91"/>
      <c r="B3" s="308"/>
      <c r="C3" s="308"/>
      <c r="D3" s="155" t="s">
        <v>1575</v>
      </c>
      <c r="E3" s="130">
        <v>0</v>
      </c>
    </row>
    <row r="4" spans="1:5" ht="13.5" customHeight="1">
      <c r="A4" s="86"/>
      <c r="B4" s="302"/>
      <c r="C4" s="302"/>
      <c r="D4" s="155" t="s">
        <v>1600</v>
      </c>
      <c r="E4" s="130">
        <f>E5+E14+E18+E33+E44+E48+E61+E62+E72+E88+E92+E93</f>
        <v>355005.26200000005</v>
      </c>
    </row>
    <row r="5" spans="1:5" ht="12.75" customHeight="1" outlineLevel="1">
      <c r="A5" s="255" t="s">
        <v>1576</v>
      </c>
      <c r="B5" s="256"/>
      <c r="C5" s="256"/>
      <c r="D5" s="257"/>
      <c r="E5" s="105">
        <f>SUM(E6:E13)</f>
        <v>10701.12</v>
      </c>
    </row>
    <row r="6" spans="2:6" ht="15" outlineLevel="2">
      <c r="B6" s="83" t="s">
        <v>2</v>
      </c>
      <c r="C6" s="83" t="s">
        <v>1580</v>
      </c>
      <c r="D6" s="83" t="s">
        <v>2277</v>
      </c>
      <c r="E6" s="106">
        <v>81.64</v>
      </c>
      <c r="F6" s="144"/>
    </row>
    <row r="7" spans="2:6" ht="15" outlineLevel="2">
      <c r="B7" s="83" t="s">
        <v>182</v>
      </c>
      <c r="C7" s="83" t="s">
        <v>1580</v>
      </c>
      <c r="D7" s="83" t="s">
        <v>1432</v>
      </c>
      <c r="E7" s="106">
        <v>984.46</v>
      </c>
      <c r="F7" s="144"/>
    </row>
    <row r="8" spans="2:6" ht="15" outlineLevel="2">
      <c r="B8" s="83" t="s">
        <v>182</v>
      </c>
      <c r="C8" s="83" t="s">
        <v>1580</v>
      </c>
      <c r="D8" s="83" t="s">
        <v>1396</v>
      </c>
      <c r="E8" s="106">
        <v>84.42</v>
      </c>
      <c r="F8" s="144"/>
    </row>
    <row r="9" spans="2:6" ht="15" outlineLevel="2">
      <c r="B9" s="83" t="s">
        <v>1202</v>
      </c>
      <c r="C9" s="83" t="s">
        <v>1582</v>
      </c>
      <c r="D9" s="83" t="s">
        <v>1210</v>
      </c>
      <c r="E9" s="106">
        <v>2689.3</v>
      </c>
      <c r="F9" s="144"/>
    </row>
    <row r="10" spans="2:6" ht="24.75" customHeight="1" outlineLevel="2">
      <c r="B10" s="83" t="s">
        <v>508</v>
      </c>
      <c r="C10" s="83" t="s">
        <v>1582</v>
      </c>
      <c r="D10" s="83" t="s">
        <v>509</v>
      </c>
      <c r="E10" s="106">
        <v>345.62</v>
      </c>
      <c r="F10" s="144"/>
    </row>
    <row r="11" spans="2:6" ht="15" outlineLevel="2">
      <c r="B11" s="83" t="s">
        <v>1033</v>
      </c>
      <c r="C11" s="83" t="s">
        <v>1583</v>
      </c>
      <c r="D11" s="83" t="s">
        <v>509</v>
      </c>
      <c r="E11" s="106">
        <v>1076.93</v>
      </c>
      <c r="F11" s="144"/>
    </row>
    <row r="12" spans="2:6" ht="15" outlineLevel="2">
      <c r="B12" s="83" t="s">
        <v>2</v>
      </c>
      <c r="C12" s="83" t="s">
        <v>1583</v>
      </c>
      <c r="D12" s="83" t="s">
        <v>855</v>
      </c>
      <c r="E12" s="106">
        <v>80.15</v>
      </c>
      <c r="F12" s="144"/>
    </row>
    <row r="13" spans="2:6" ht="15" outlineLevel="2">
      <c r="B13" s="84" t="s">
        <v>1967</v>
      </c>
      <c r="C13" s="83" t="s">
        <v>1588</v>
      </c>
      <c r="D13" s="84" t="s">
        <v>63</v>
      </c>
      <c r="E13" s="153">
        <v>5358.6</v>
      </c>
      <c r="F13" s="144"/>
    </row>
    <row r="14" spans="1:5" ht="14.25" customHeight="1" outlineLevel="1">
      <c r="A14" s="255" t="s">
        <v>1589</v>
      </c>
      <c r="B14" s="256"/>
      <c r="C14" s="256"/>
      <c r="D14" s="257"/>
      <c r="E14" s="105">
        <f>SUM(E15:E17)</f>
        <v>4054.58</v>
      </c>
    </row>
    <row r="15" spans="2:6" ht="15" outlineLevel="2">
      <c r="B15" s="83" t="s">
        <v>2181</v>
      </c>
      <c r="C15" s="83" t="s">
        <v>1579</v>
      </c>
      <c r="D15" s="83" t="s">
        <v>2289</v>
      </c>
      <c r="E15" s="106">
        <v>463.11</v>
      </c>
      <c r="F15" s="144"/>
    </row>
    <row r="16" spans="2:6" ht="15" outlineLevel="2">
      <c r="B16" s="83" t="s">
        <v>163</v>
      </c>
      <c r="C16" s="83" t="s">
        <v>1583</v>
      </c>
      <c r="D16" s="83" t="s">
        <v>164</v>
      </c>
      <c r="E16" s="106">
        <v>1775.16</v>
      </c>
      <c r="F16" s="144"/>
    </row>
    <row r="17" spans="2:6" ht="15" outlineLevel="2">
      <c r="B17" s="83" t="s">
        <v>2417</v>
      </c>
      <c r="C17" s="83" t="s">
        <v>1586</v>
      </c>
      <c r="D17" s="83" t="s">
        <v>2475</v>
      </c>
      <c r="E17" s="106">
        <v>1816.31</v>
      </c>
      <c r="F17" s="144"/>
    </row>
    <row r="18" spans="1:5" ht="15" customHeight="1" outlineLevel="1">
      <c r="A18" s="255" t="s">
        <v>1590</v>
      </c>
      <c r="B18" s="256"/>
      <c r="C18" s="256"/>
      <c r="D18" s="257"/>
      <c r="E18" s="105">
        <f>SUM(E19:E32)</f>
        <v>36408.74</v>
      </c>
    </row>
    <row r="19" spans="2:6" ht="15" outlineLevel="2">
      <c r="B19" s="88" t="s">
        <v>2</v>
      </c>
      <c r="C19" s="82" t="s">
        <v>1577</v>
      </c>
      <c r="D19" s="82" t="s">
        <v>1507</v>
      </c>
      <c r="E19" s="106">
        <v>113.4</v>
      </c>
      <c r="F19" s="144"/>
    </row>
    <row r="20" spans="2:6" ht="15" outlineLevel="2">
      <c r="B20" s="87" t="s">
        <v>872</v>
      </c>
      <c r="C20" s="83" t="s">
        <v>1578</v>
      </c>
      <c r="D20" s="83" t="s">
        <v>1877</v>
      </c>
      <c r="E20" s="106">
        <v>5285.46</v>
      </c>
      <c r="F20" s="144"/>
    </row>
    <row r="21" spans="2:6" ht="30" outlineLevel="2">
      <c r="B21" s="87" t="s">
        <v>1465</v>
      </c>
      <c r="C21" s="83" t="s">
        <v>1578</v>
      </c>
      <c r="D21" s="83" t="s">
        <v>1876</v>
      </c>
      <c r="E21" s="106">
        <v>2833.48</v>
      </c>
      <c r="F21" s="144"/>
    </row>
    <row r="22" spans="2:6" ht="15" outlineLevel="2">
      <c r="B22" s="87" t="s">
        <v>1701</v>
      </c>
      <c r="C22" s="83" t="s">
        <v>1580</v>
      </c>
      <c r="D22" s="83" t="s">
        <v>832</v>
      </c>
      <c r="E22" s="106">
        <v>82.2</v>
      </c>
      <c r="F22" s="144"/>
    </row>
    <row r="23" spans="2:6" ht="30" outlineLevel="2">
      <c r="B23" s="87" t="s">
        <v>836</v>
      </c>
      <c r="C23" s="83" t="s">
        <v>1580</v>
      </c>
      <c r="D23" s="83" t="s">
        <v>838</v>
      </c>
      <c r="E23" s="106">
        <v>3525.8</v>
      </c>
      <c r="F23" s="144"/>
    </row>
    <row r="24" spans="2:6" ht="30" outlineLevel="2">
      <c r="B24" s="87" t="s">
        <v>2182</v>
      </c>
      <c r="C24" s="83" t="s">
        <v>1580</v>
      </c>
      <c r="D24" s="83" t="s">
        <v>1020</v>
      </c>
      <c r="E24" s="106">
        <v>988</v>
      </c>
      <c r="F24" s="144"/>
    </row>
    <row r="25" spans="2:6" ht="15" outlineLevel="2">
      <c r="B25" s="87" t="s">
        <v>1708</v>
      </c>
      <c r="C25" s="83" t="s">
        <v>1581</v>
      </c>
      <c r="D25" s="83" t="s">
        <v>1393</v>
      </c>
      <c r="E25" s="106">
        <v>2919.95</v>
      </c>
      <c r="F25" s="144"/>
    </row>
    <row r="26" spans="2:6" ht="15" outlineLevel="2">
      <c r="B26" s="87" t="s">
        <v>1249</v>
      </c>
      <c r="C26" s="83" t="s">
        <v>1581</v>
      </c>
      <c r="D26" s="83" t="s">
        <v>216</v>
      </c>
      <c r="E26" s="106">
        <v>1544.36</v>
      </c>
      <c r="F26" s="144"/>
    </row>
    <row r="27" spans="2:6" ht="15" outlineLevel="2">
      <c r="B27" s="87" t="s">
        <v>718</v>
      </c>
      <c r="C27" s="83" t="s">
        <v>57</v>
      </c>
      <c r="D27" s="83" t="s">
        <v>939</v>
      </c>
      <c r="E27" s="106">
        <v>165.51</v>
      </c>
      <c r="F27" s="144"/>
    </row>
    <row r="28" spans="2:6" ht="15" outlineLevel="2">
      <c r="B28" s="87" t="s">
        <v>1689</v>
      </c>
      <c r="C28" s="83" t="s">
        <v>1582</v>
      </c>
      <c r="D28" s="83" t="s">
        <v>1878</v>
      </c>
      <c r="E28" s="106">
        <v>5277.14</v>
      </c>
      <c r="F28" s="144"/>
    </row>
    <row r="29" spans="2:6" ht="15" outlineLevel="2">
      <c r="B29" s="87" t="s">
        <v>29</v>
      </c>
      <c r="C29" s="83" t="s">
        <v>1584</v>
      </c>
      <c r="D29" s="83" t="s">
        <v>726</v>
      </c>
      <c r="E29" s="106">
        <v>1097.76</v>
      </c>
      <c r="F29" s="144"/>
    </row>
    <row r="30" spans="2:6" ht="45" outlineLevel="2">
      <c r="B30" s="87" t="s">
        <v>929</v>
      </c>
      <c r="C30" s="83" t="s">
        <v>1584</v>
      </c>
      <c r="D30" s="83" t="s">
        <v>760</v>
      </c>
      <c r="E30" s="106">
        <v>5627.71</v>
      </c>
      <c r="F30" s="144"/>
    </row>
    <row r="31" spans="2:6" ht="30" outlineLevel="2">
      <c r="B31" s="87" t="s">
        <v>23</v>
      </c>
      <c r="C31" s="83" t="s">
        <v>1586</v>
      </c>
      <c r="D31" s="83" t="s">
        <v>1521</v>
      </c>
      <c r="E31" s="106">
        <v>5477.31</v>
      </c>
      <c r="F31" s="144"/>
    </row>
    <row r="32" spans="2:6" ht="30" outlineLevel="2">
      <c r="B32" s="87" t="s">
        <v>192</v>
      </c>
      <c r="C32" s="83" t="s">
        <v>1586</v>
      </c>
      <c r="D32" s="83" t="s">
        <v>783</v>
      </c>
      <c r="E32" s="106">
        <v>1470.66</v>
      </c>
      <c r="F32" s="144"/>
    </row>
    <row r="33" spans="1:5" ht="14.25" customHeight="1" outlineLevel="1" collapsed="1">
      <c r="A33" s="255" t="s">
        <v>1591</v>
      </c>
      <c r="B33" s="256"/>
      <c r="C33" s="256"/>
      <c r="D33" s="257"/>
      <c r="E33" s="105">
        <f>SUM(E34:E43)</f>
        <v>33837.43</v>
      </c>
    </row>
    <row r="34" spans="2:6" ht="15" hidden="1" outlineLevel="2">
      <c r="B34" s="88" t="s">
        <v>1986</v>
      </c>
      <c r="C34" s="82" t="s">
        <v>1577</v>
      </c>
      <c r="D34" s="82" t="s">
        <v>2082</v>
      </c>
      <c r="E34" s="106">
        <v>60</v>
      </c>
      <c r="F34" s="144"/>
    </row>
    <row r="35" spans="2:6" ht="15" hidden="1" outlineLevel="2">
      <c r="B35" s="87" t="s">
        <v>7</v>
      </c>
      <c r="C35" s="83" t="s">
        <v>1578</v>
      </c>
      <c r="D35" s="83" t="s">
        <v>765</v>
      </c>
      <c r="E35" s="106">
        <v>715.86</v>
      </c>
      <c r="F35" s="144"/>
    </row>
    <row r="36" spans="2:6" ht="15" hidden="1" outlineLevel="2">
      <c r="B36" s="87" t="s">
        <v>768</v>
      </c>
      <c r="C36" s="83" t="s">
        <v>1578</v>
      </c>
      <c r="D36" s="83" t="s">
        <v>765</v>
      </c>
      <c r="E36" s="106">
        <v>354.46</v>
      </c>
      <c r="F36" s="144"/>
    </row>
    <row r="37" spans="2:6" ht="15" hidden="1" outlineLevel="2">
      <c r="B37" s="87" t="s">
        <v>1064</v>
      </c>
      <c r="C37" s="83" t="s">
        <v>1579</v>
      </c>
      <c r="D37" s="83" t="s">
        <v>765</v>
      </c>
      <c r="E37" s="106">
        <v>1619.7</v>
      </c>
      <c r="F37" s="144"/>
    </row>
    <row r="38" spans="2:6" ht="15" hidden="1" outlineLevel="2">
      <c r="B38" s="87" t="s">
        <v>1238</v>
      </c>
      <c r="C38" s="83" t="s">
        <v>1579</v>
      </c>
      <c r="D38" s="83" t="s">
        <v>504</v>
      </c>
      <c r="E38" s="106">
        <v>1029.16</v>
      </c>
      <c r="F38" s="144"/>
    </row>
    <row r="39" spans="2:6" ht="15" hidden="1" outlineLevel="2">
      <c r="B39" s="87" t="s">
        <v>879</v>
      </c>
      <c r="C39" s="83" t="s">
        <v>1579</v>
      </c>
      <c r="D39" s="83" t="s">
        <v>316</v>
      </c>
      <c r="E39" s="106">
        <v>1070.55</v>
      </c>
      <c r="F39" s="144"/>
    </row>
    <row r="40" spans="2:6" ht="15" hidden="1" outlineLevel="2">
      <c r="B40" s="87" t="s">
        <v>433</v>
      </c>
      <c r="C40" s="83" t="s">
        <v>1581</v>
      </c>
      <c r="D40" s="83" t="s">
        <v>443</v>
      </c>
      <c r="E40" s="106">
        <v>898.25</v>
      </c>
      <c r="F40" s="144"/>
    </row>
    <row r="41" spans="2:6" ht="15" hidden="1" outlineLevel="2">
      <c r="B41" s="87" t="s">
        <v>1251</v>
      </c>
      <c r="C41" s="83" t="s">
        <v>1581</v>
      </c>
      <c r="D41" s="83" t="s">
        <v>449</v>
      </c>
      <c r="E41" s="106">
        <v>786.86</v>
      </c>
      <c r="F41" s="144"/>
    </row>
    <row r="42" spans="2:6" ht="45" hidden="1" outlineLevel="2">
      <c r="B42" s="87" t="s">
        <v>2470</v>
      </c>
      <c r="C42" s="83" t="s">
        <v>1585</v>
      </c>
      <c r="D42" s="83" t="s">
        <v>444</v>
      </c>
      <c r="E42" s="106">
        <v>1798</v>
      </c>
      <c r="F42" s="144"/>
    </row>
    <row r="43" spans="2:6" ht="15" hidden="1" outlineLevel="2">
      <c r="B43" s="87" t="s">
        <v>911</v>
      </c>
      <c r="C43" s="83" t="s">
        <v>1587</v>
      </c>
      <c r="D43" s="83" t="s">
        <v>912</v>
      </c>
      <c r="E43" s="106">
        <v>25504.59</v>
      </c>
      <c r="F43" s="144"/>
    </row>
    <row r="44" spans="1:5" ht="15" customHeight="1" outlineLevel="1">
      <c r="A44" s="255" t="s">
        <v>1599</v>
      </c>
      <c r="B44" s="256"/>
      <c r="C44" s="256"/>
      <c r="D44" s="257"/>
      <c r="E44" s="105">
        <f>SUM(E45:E47)</f>
        <v>28761.98</v>
      </c>
    </row>
    <row r="45" spans="2:6" ht="15" outlineLevel="2">
      <c r="B45" s="83" t="s">
        <v>2231</v>
      </c>
      <c r="C45" s="83" t="s">
        <v>1579</v>
      </c>
      <c r="D45" s="83" t="s">
        <v>1</v>
      </c>
      <c r="E45" s="106">
        <v>13128</v>
      </c>
      <c r="F45" s="144"/>
    </row>
    <row r="46" spans="2:6" ht="15" outlineLevel="2">
      <c r="B46" s="83" t="s">
        <v>17</v>
      </c>
      <c r="C46" s="83" t="s">
        <v>1579</v>
      </c>
      <c r="D46" s="83" t="s">
        <v>2358</v>
      </c>
      <c r="E46" s="106">
        <v>58</v>
      </c>
      <c r="F46" s="144"/>
    </row>
    <row r="47" spans="2:6" ht="15" outlineLevel="2">
      <c r="B47" s="83" t="s">
        <v>1345</v>
      </c>
      <c r="C47" s="83" t="s">
        <v>1586</v>
      </c>
      <c r="D47" s="83" t="s">
        <v>1346</v>
      </c>
      <c r="E47" s="106">
        <v>15575.98</v>
      </c>
      <c r="F47" s="144"/>
    </row>
    <row r="48" spans="1:5" ht="12" customHeight="1" outlineLevel="1">
      <c r="A48" s="255" t="s">
        <v>1713</v>
      </c>
      <c r="B48" s="256"/>
      <c r="C48" s="256"/>
      <c r="D48" s="257"/>
      <c r="E48" s="105">
        <f>SUM(E49:E60)</f>
        <v>113986.18000000001</v>
      </c>
    </row>
    <row r="49" spans="2:6" ht="15" outlineLevel="2">
      <c r="B49" s="82"/>
      <c r="C49" s="82" t="s">
        <v>1577</v>
      </c>
      <c r="D49" s="82" t="s">
        <v>1496</v>
      </c>
      <c r="E49" s="106">
        <v>9668.09</v>
      </c>
      <c r="F49" s="144"/>
    </row>
    <row r="50" spans="2:6" ht="15" outlineLevel="2">
      <c r="B50" s="83"/>
      <c r="C50" s="83" t="s">
        <v>1578</v>
      </c>
      <c r="D50" s="83" t="s">
        <v>1496</v>
      </c>
      <c r="E50" s="106">
        <v>9668.09</v>
      </c>
      <c r="F50" s="144"/>
    </row>
    <row r="51" spans="2:6" ht="15" outlineLevel="2">
      <c r="B51" s="83"/>
      <c r="C51" s="83" t="s">
        <v>1579</v>
      </c>
      <c r="D51" s="83" t="s">
        <v>1496</v>
      </c>
      <c r="E51" s="106">
        <v>9668.09</v>
      </c>
      <c r="F51" s="144"/>
    </row>
    <row r="52" spans="2:6" ht="15" outlineLevel="2">
      <c r="B52" s="83"/>
      <c r="C52" s="83" t="s">
        <v>1580</v>
      </c>
      <c r="D52" s="83" t="s">
        <v>1496</v>
      </c>
      <c r="E52" s="106">
        <v>9668.09</v>
      </c>
      <c r="F52" s="144"/>
    </row>
    <row r="53" spans="2:6" ht="15" outlineLevel="2">
      <c r="B53" s="83"/>
      <c r="C53" s="83" t="s">
        <v>1581</v>
      </c>
      <c r="D53" s="83" t="s">
        <v>1496</v>
      </c>
      <c r="E53" s="106">
        <v>9261.91</v>
      </c>
      <c r="F53" s="144"/>
    </row>
    <row r="54" spans="2:6" ht="15" outlineLevel="2">
      <c r="B54" s="83"/>
      <c r="C54" s="83" t="s">
        <v>1582</v>
      </c>
      <c r="D54" s="83" t="s">
        <v>1496</v>
      </c>
      <c r="E54" s="106">
        <v>9261.91</v>
      </c>
      <c r="F54" s="144"/>
    </row>
    <row r="55" spans="2:6" ht="15" outlineLevel="2">
      <c r="B55" s="83"/>
      <c r="C55" s="83" t="s">
        <v>1583</v>
      </c>
      <c r="D55" s="83" t="s">
        <v>1496</v>
      </c>
      <c r="E55" s="106">
        <v>9261.91</v>
      </c>
      <c r="F55" s="144"/>
    </row>
    <row r="56" spans="2:6" ht="15" outlineLevel="2">
      <c r="B56" s="83"/>
      <c r="C56" s="83" t="s">
        <v>1584</v>
      </c>
      <c r="D56" s="83" t="s">
        <v>1496</v>
      </c>
      <c r="E56" s="106">
        <v>9261.91</v>
      </c>
      <c r="F56" s="144"/>
    </row>
    <row r="57" spans="2:6" ht="11.25" customHeight="1" outlineLevel="2">
      <c r="B57" s="83"/>
      <c r="C57" s="83" t="s">
        <v>1585</v>
      </c>
      <c r="D57" s="83" t="s">
        <v>1496</v>
      </c>
      <c r="E57" s="106">
        <v>9261.91</v>
      </c>
      <c r="F57" s="144"/>
    </row>
    <row r="58" spans="2:6" ht="15" outlineLevel="2">
      <c r="B58" s="83"/>
      <c r="C58" s="83" t="s">
        <v>1586</v>
      </c>
      <c r="D58" s="83" t="s">
        <v>1496</v>
      </c>
      <c r="E58" s="106">
        <v>9668.09</v>
      </c>
      <c r="F58" s="144"/>
    </row>
    <row r="59" spans="2:6" ht="15" outlineLevel="2">
      <c r="B59" s="83"/>
      <c r="C59" s="83" t="s">
        <v>1587</v>
      </c>
      <c r="D59" s="83" t="s">
        <v>1496</v>
      </c>
      <c r="E59" s="106">
        <v>9668.09</v>
      </c>
      <c r="F59" s="144"/>
    </row>
    <row r="60" spans="2:6" ht="15" outlineLevel="2">
      <c r="B60" s="89"/>
      <c r="C60" s="83" t="s">
        <v>1588</v>
      </c>
      <c r="D60" s="83" t="s">
        <v>1496</v>
      </c>
      <c r="E60" s="106">
        <v>9668.09</v>
      </c>
      <c r="F60" s="144"/>
    </row>
    <row r="61" spans="1:5" ht="13.5" customHeight="1" outlineLevel="1">
      <c r="A61" s="255" t="s">
        <v>1714</v>
      </c>
      <c r="B61" s="256"/>
      <c r="C61" s="256"/>
      <c r="D61" s="257"/>
      <c r="E61" s="105">
        <f>1.46*2731.1*12</f>
        <v>47848.872</v>
      </c>
    </row>
    <row r="62" spans="1:5" ht="13.5" customHeight="1" outlineLevel="1">
      <c r="A62" s="255" t="s">
        <v>1715</v>
      </c>
      <c r="B62" s="256"/>
      <c r="C62" s="256"/>
      <c r="D62" s="257"/>
      <c r="E62" s="105">
        <f>SUM(E63:E71)</f>
        <v>12647.27</v>
      </c>
    </row>
    <row r="63" spans="2:6" ht="15" outlineLevel="2">
      <c r="B63" s="82" t="s">
        <v>66</v>
      </c>
      <c r="C63" s="82" t="s">
        <v>1577</v>
      </c>
      <c r="D63" s="82" t="s">
        <v>2179</v>
      </c>
      <c r="E63" s="106">
        <v>2164</v>
      </c>
      <c r="F63" s="144"/>
    </row>
    <row r="64" spans="2:6" ht="15" outlineLevel="2">
      <c r="B64" s="83" t="s">
        <v>2</v>
      </c>
      <c r="C64" s="83" t="s">
        <v>1580</v>
      </c>
      <c r="D64" s="83" t="s">
        <v>2274</v>
      </c>
      <c r="E64" s="106">
        <v>350.11</v>
      </c>
      <c r="F64" s="144"/>
    </row>
    <row r="65" spans="2:6" ht="15" outlineLevel="2">
      <c r="B65" s="83" t="s">
        <v>1678</v>
      </c>
      <c r="C65" s="83" t="s">
        <v>1581</v>
      </c>
      <c r="D65" s="83" t="s">
        <v>608</v>
      </c>
      <c r="E65" s="106">
        <v>513.59</v>
      </c>
      <c r="F65" s="144"/>
    </row>
    <row r="66" spans="2:6" ht="15" outlineLevel="2">
      <c r="B66" s="83" t="s">
        <v>102</v>
      </c>
      <c r="C66" s="83" t="s">
        <v>1582</v>
      </c>
      <c r="D66" s="83" t="s">
        <v>110</v>
      </c>
      <c r="E66" s="106">
        <v>6190.33</v>
      </c>
      <c r="F66" s="144"/>
    </row>
    <row r="67" spans="2:6" ht="15" outlineLevel="2">
      <c r="B67" s="83" t="s">
        <v>1313</v>
      </c>
      <c r="C67" s="83" t="s">
        <v>1583</v>
      </c>
      <c r="D67" s="83" t="s">
        <v>110</v>
      </c>
      <c r="E67" s="106">
        <v>270.2</v>
      </c>
      <c r="F67" s="144"/>
    </row>
    <row r="68" spans="2:6" ht="15" outlineLevel="2">
      <c r="B68" s="83" t="s">
        <v>53</v>
      </c>
      <c r="C68" s="83" t="s">
        <v>1583</v>
      </c>
      <c r="D68" s="83" t="s">
        <v>110</v>
      </c>
      <c r="E68" s="106">
        <v>176.63</v>
      </c>
      <c r="F68" s="144"/>
    </row>
    <row r="69" spans="2:6" ht="15" outlineLevel="2">
      <c r="B69" s="83" t="s">
        <v>547</v>
      </c>
      <c r="C69" s="83" t="s">
        <v>1586</v>
      </c>
      <c r="D69" s="83" t="s">
        <v>1005</v>
      </c>
      <c r="E69" s="106">
        <v>2336</v>
      </c>
      <c r="F69" s="144"/>
    </row>
    <row r="70" spans="2:6" ht="15" outlineLevel="2">
      <c r="B70" s="83" t="s">
        <v>206</v>
      </c>
      <c r="C70" s="83" t="s">
        <v>1587</v>
      </c>
      <c r="D70" s="83" t="s">
        <v>207</v>
      </c>
      <c r="E70" s="106">
        <v>278.3</v>
      </c>
      <c r="F70" s="144"/>
    </row>
    <row r="71" spans="2:6" ht="15" outlineLevel="2">
      <c r="B71" s="83" t="s">
        <v>1958</v>
      </c>
      <c r="C71" s="83" t="s">
        <v>1588</v>
      </c>
      <c r="D71" s="83" t="s">
        <v>1960</v>
      </c>
      <c r="E71" s="106">
        <v>368.11</v>
      </c>
      <c r="F71" s="144"/>
    </row>
    <row r="72" spans="1:5" ht="12" customHeight="1" outlineLevel="1">
      <c r="A72" s="255" t="s">
        <v>1595</v>
      </c>
      <c r="B72" s="256"/>
      <c r="C72" s="256"/>
      <c r="D72" s="257"/>
      <c r="E72" s="105">
        <f>SUM(E73:E87)</f>
        <v>57451.66</v>
      </c>
    </row>
    <row r="73" spans="2:6" ht="15" outlineLevel="2">
      <c r="B73" s="82" t="s">
        <v>2202</v>
      </c>
      <c r="C73" s="82" t="s">
        <v>1577</v>
      </c>
      <c r="D73" s="82" t="s">
        <v>1563</v>
      </c>
      <c r="E73" s="106">
        <v>19770.43</v>
      </c>
      <c r="F73" s="144"/>
    </row>
    <row r="74" spans="2:6" ht="15" outlineLevel="2">
      <c r="B74" s="83" t="s">
        <v>878</v>
      </c>
      <c r="C74" s="83" t="s">
        <v>1579</v>
      </c>
      <c r="D74" s="83" t="s">
        <v>2308</v>
      </c>
      <c r="E74" s="106">
        <v>990.5</v>
      </c>
      <c r="F74" s="144"/>
    </row>
    <row r="75" spans="2:6" ht="15" outlineLevel="2">
      <c r="B75" s="83" t="s">
        <v>15</v>
      </c>
      <c r="C75" s="83" t="s">
        <v>1579</v>
      </c>
      <c r="D75" s="83" t="s">
        <v>1564</v>
      </c>
      <c r="E75" s="106">
        <v>390.52</v>
      </c>
      <c r="F75" s="144"/>
    </row>
    <row r="76" spans="2:6" ht="30" outlineLevel="2">
      <c r="B76" s="83" t="s">
        <v>2135</v>
      </c>
      <c r="C76" s="83" t="s">
        <v>1579</v>
      </c>
      <c r="D76" s="83" t="s">
        <v>500</v>
      </c>
      <c r="E76" s="106">
        <v>197.78</v>
      </c>
      <c r="F76" s="144"/>
    </row>
    <row r="77" spans="2:6" ht="15" outlineLevel="2">
      <c r="B77" s="83" t="s">
        <v>323</v>
      </c>
      <c r="C77" s="83" t="s">
        <v>1579</v>
      </c>
      <c r="D77" s="83" t="s">
        <v>419</v>
      </c>
      <c r="E77" s="106">
        <v>1561.42</v>
      </c>
      <c r="F77" s="144"/>
    </row>
    <row r="78" spans="2:6" ht="15" outlineLevel="2">
      <c r="B78" s="83" t="s">
        <v>1244</v>
      </c>
      <c r="C78" s="83" t="s">
        <v>1580</v>
      </c>
      <c r="D78" s="83" t="s">
        <v>675</v>
      </c>
      <c r="E78" s="106">
        <v>300.22</v>
      </c>
      <c r="F78" s="144"/>
    </row>
    <row r="79" spans="2:6" ht="15" outlineLevel="2">
      <c r="B79" s="83" t="s">
        <v>1253</v>
      </c>
      <c r="C79" s="83" t="s">
        <v>1582</v>
      </c>
      <c r="D79" s="83" t="s">
        <v>1442</v>
      </c>
      <c r="E79" s="106">
        <v>574.84</v>
      </c>
      <c r="F79" s="144"/>
    </row>
    <row r="80" spans="2:6" ht="15" outlineLevel="2">
      <c r="B80" s="83" t="s">
        <v>1255</v>
      </c>
      <c r="C80" s="83" t="s">
        <v>1582</v>
      </c>
      <c r="D80" s="83" t="s">
        <v>822</v>
      </c>
      <c r="E80" s="106">
        <v>822.19</v>
      </c>
      <c r="F80" s="144"/>
    </row>
    <row r="81" spans="2:6" ht="15" outlineLevel="2">
      <c r="B81" s="83" t="s">
        <v>43</v>
      </c>
      <c r="C81" s="83" t="s">
        <v>1583</v>
      </c>
      <c r="D81" s="83" t="s">
        <v>177</v>
      </c>
      <c r="E81" s="106">
        <v>72.95</v>
      </c>
      <c r="F81" s="144"/>
    </row>
    <row r="82" spans="2:6" ht="15" outlineLevel="2">
      <c r="B82" s="83" t="s">
        <v>2385</v>
      </c>
      <c r="C82" s="83" t="s">
        <v>1586</v>
      </c>
      <c r="D82" s="83" t="s">
        <v>2386</v>
      </c>
      <c r="E82" s="106">
        <v>5767</v>
      </c>
      <c r="F82" s="144"/>
    </row>
    <row r="83" spans="2:6" ht="15" outlineLevel="2">
      <c r="B83" s="83" t="s">
        <v>782</v>
      </c>
      <c r="C83" s="83" t="s">
        <v>1587</v>
      </c>
      <c r="D83" s="83" t="s">
        <v>1272</v>
      </c>
      <c r="E83" s="106">
        <v>22056.03</v>
      </c>
      <c r="F83" s="144"/>
    </row>
    <row r="84" spans="2:6" ht="15" outlineLevel="2">
      <c r="B84" s="83" t="s">
        <v>1181</v>
      </c>
      <c r="C84" s="83" t="s">
        <v>1587</v>
      </c>
      <c r="D84" s="83" t="s">
        <v>1186</v>
      </c>
      <c r="E84" s="106">
        <v>431.64</v>
      </c>
      <c r="F84" s="144"/>
    </row>
    <row r="85" spans="2:6" ht="15" outlineLevel="2">
      <c r="B85" s="83" t="s">
        <v>1181</v>
      </c>
      <c r="C85" s="83" t="s">
        <v>1587</v>
      </c>
      <c r="D85" s="83" t="s">
        <v>1189</v>
      </c>
      <c r="E85" s="106">
        <v>431.64</v>
      </c>
      <c r="F85" s="144"/>
    </row>
    <row r="86" spans="2:6" ht="30" outlineLevel="2">
      <c r="B86" s="83" t="s">
        <v>921</v>
      </c>
      <c r="C86" s="83" t="s">
        <v>1588</v>
      </c>
      <c r="D86" s="83" t="s">
        <v>922</v>
      </c>
      <c r="E86" s="106">
        <v>936</v>
      </c>
      <c r="F86" s="144"/>
    </row>
    <row r="87" spans="2:6" ht="15" customHeight="1" outlineLevel="2">
      <c r="B87" s="83" t="s">
        <v>5</v>
      </c>
      <c r="C87" s="83" t="s">
        <v>1588</v>
      </c>
      <c r="D87" s="83" t="s">
        <v>645</v>
      </c>
      <c r="E87" s="106">
        <v>3148.5</v>
      </c>
      <c r="F87" s="144"/>
    </row>
    <row r="88" spans="1:5" ht="12" customHeight="1" outlineLevel="1">
      <c r="A88" s="255" t="s">
        <v>1718</v>
      </c>
      <c r="B88" s="256"/>
      <c r="C88" s="256"/>
      <c r="D88" s="257"/>
      <c r="E88" s="105">
        <f>SUM(E89:E91)</f>
        <v>2863.45</v>
      </c>
    </row>
    <row r="89" spans="2:6" ht="15" outlineLevel="2">
      <c r="B89" s="82" t="s">
        <v>2</v>
      </c>
      <c r="C89" s="82" t="s">
        <v>1577</v>
      </c>
      <c r="D89" s="82" t="s">
        <v>1897</v>
      </c>
      <c r="E89" s="106">
        <v>1406.29</v>
      </c>
      <c r="F89" s="144"/>
    </row>
    <row r="90" spans="2:6" ht="15" outlineLevel="2">
      <c r="B90" s="83" t="s">
        <v>2</v>
      </c>
      <c r="C90" s="83" t="s">
        <v>57</v>
      </c>
      <c r="D90" s="83" t="s">
        <v>723</v>
      </c>
      <c r="E90" s="106">
        <v>60.37</v>
      </c>
      <c r="F90" s="144"/>
    </row>
    <row r="91" spans="2:6" ht="15" outlineLevel="2">
      <c r="B91" s="84" t="s">
        <v>2</v>
      </c>
      <c r="C91" s="84" t="s">
        <v>1581</v>
      </c>
      <c r="D91" s="84" t="s">
        <v>2390</v>
      </c>
      <c r="E91" s="106">
        <v>1396.79</v>
      </c>
      <c r="F91" s="144"/>
    </row>
    <row r="92" spans="1:6" ht="13.5" customHeight="1" outlineLevel="2">
      <c r="A92" s="255" t="s">
        <v>0</v>
      </c>
      <c r="B92" s="256"/>
      <c r="C92" s="256"/>
      <c r="D92" s="257"/>
      <c r="E92" s="105">
        <f>0.1*2731.1*12</f>
        <v>3277.32</v>
      </c>
      <c r="F92" s="144"/>
    </row>
    <row r="93" spans="1:6" ht="13.5" customHeight="1" outlineLevel="2">
      <c r="A93" s="255" t="s">
        <v>1369</v>
      </c>
      <c r="B93" s="256"/>
      <c r="C93" s="256"/>
      <c r="D93" s="257"/>
      <c r="E93" s="105">
        <v>3166.66</v>
      </c>
      <c r="F93" s="144"/>
    </row>
    <row r="94" spans="2:6" ht="15">
      <c r="B94" s="273" t="s">
        <v>255</v>
      </c>
      <c r="C94" s="273"/>
      <c r="D94" s="273"/>
      <c r="E94" s="43">
        <f>0.94*2731.1*12</f>
        <v>30806.807999999997</v>
      </c>
      <c r="F94" s="152"/>
    </row>
    <row r="95" spans="2:6" ht="15">
      <c r="B95" s="270" t="s">
        <v>59</v>
      </c>
      <c r="C95" s="270"/>
      <c r="D95" s="270"/>
      <c r="E95" s="43">
        <f>1.57*2731.1*12</f>
        <v>51453.924</v>
      </c>
      <c r="F95" s="144"/>
    </row>
    <row r="96" spans="2:6" ht="15">
      <c r="B96" s="270" t="s">
        <v>256</v>
      </c>
      <c r="C96" s="270"/>
      <c r="D96" s="270"/>
      <c r="E96" s="43">
        <f>10.3*(E98+E99)/100</f>
        <v>72407.77224000002</v>
      </c>
      <c r="F96" s="144"/>
    </row>
    <row r="97" spans="1:5" ht="15">
      <c r="A97" s="42">
        <v>1</v>
      </c>
      <c r="B97" s="272" t="s">
        <v>659</v>
      </c>
      <c r="C97" s="272"/>
      <c r="D97" s="272"/>
      <c r="E97" s="44">
        <f>E96+E95+E94+E4+E3</f>
        <v>509673.76624</v>
      </c>
    </row>
    <row r="98" spans="1:6" ht="15">
      <c r="A98" s="42">
        <v>2</v>
      </c>
      <c r="B98" s="270" t="s">
        <v>258</v>
      </c>
      <c r="C98" s="270"/>
      <c r="D98" s="270"/>
      <c r="E98" s="43">
        <v>617777.76</v>
      </c>
      <c r="F98" s="144"/>
    </row>
    <row r="99" spans="1:5" ht="15">
      <c r="A99" s="42">
        <v>3</v>
      </c>
      <c r="B99" s="270" t="s">
        <v>259</v>
      </c>
      <c r="C99" s="270"/>
      <c r="D99" s="270"/>
      <c r="E99" s="43">
        <v>85210.32</v>
      </c>
    </row>
    <row r="100" spans="1:5" ht="15">
      <c r="A100" s="42">
        <v>4</v>
      </c>
      <c r="B100" s="270" t="s">
        <v>660</v>
      </c>
      <c r="C100" s="270"/>
      <c r="D100" s="270"/>
      <c r="E100" s="43">
        <v>1910737.09</v>
      </c>
    </row>
    <row r="101" spans="1:5" ht="15">
      <c r="A101" s="42">
        <v>5</v>
      </c>
      <c r="B101" s="270" t="s">
        <v>2340</v>
      </c>
      <c r="C101" s="270"/>
      <c r="D101" s="270"/>
      <c r="E101" s="43">
        <v>911156.46</v>
      </c>
    </row>
    <row r="102" spans="1:5" ht="15">
      <c r="A102" s="42">
        <v>6</v>
      </c>
      <c r="B102" s="272" t="s">
        <v>2341</v>
      </c>
      <c r="C102" s="272"/>
      <c r="D102" s="272"/>
      <c r="E102" s="44">
        <f>'[5]Мира 13'!$E$112+E97</f>
        <v>1791251.82624</v>
      </c>
    </row>
    <row r="103" spans="1:5" ht="15">
      <c r="A103" s="42">
        <v>7</v>
      </c>
      <c r="B103" s="270" t="s">
        <v>732</v>
      </c>
      <c r="C103" s="270"/>
      <c r="D103" s="270"/>
      <c r="E103" s="43">
        <v>261780.3</v>
      </c>
    </row>
    <row r="104" spans="1:5" ht="15">
      <c r="A104" s="42">
        <v>8</v>
      </c>
      <c r="B104" s="270" t="s">
        <v>733</v>
      </c>
      <c r="C104" s="270"/>
      <c r="D104" s="270"/>
      <c r="E104" s="43">
        <v>124807.9</v>
      </c>
    </row>
    <row r="105" spans="1:5" ht="15">
      <c r="A105" s="42">
        <v>9</v>
      </c>
      <c r="B105" s="272" t="s">
        <v>734</v>
      </c>
      <c r="C105" s="272"/>
      <c r="D105" s="272"/>
      <c r="E105" s="44">
        <v>0</v>
      </c>
    </row>
    <row r="106" spans="1:5" ht="15">
      <c r="A106" s="42">
        <v>10</v>
      </c>
      <c r="B106" s="270" t="s">
        <v>260</v>
      </c>
      <c r="C106" s="270"/>
      <c r="D106" s="270"/>
      <c r="E106" s="43">
        <v>276313.63</v>
      </c>
    </row>
    <row r="107" spans="1:5" ht="15">
      <c r="A107" s="42">
        <v>11</v>
      </c>
      <c r="B107" s="270" t="s">
        <v>735</v>
      </c>
      <c r="C107" s="270"/>
      <c r="D107" s="270"/>
      <c r="E107" s="43">
        <v>38112.04</v>
      </c>
    </row>
    <row r="108" spans="1:5" ht="15">
      <c r="A108" s="42">
        <v>12</v>
      </c>
      <c r="B108" s="272" t="s">
        <v>736</v>
      </c>
      <c r="C108" s="272"/>
      <c r="D108" s="272"/>
      <c r="E108" s="44">
        <v>0</v>
      </c>
    </row>
    <row r="109" spans="1:5" ht="27.75" customHeight="1">
      <c r="A109" s="42">
        <v>13</v>
      </c>
      <c r="B109" s="271" t="s">
        <v>737</v>
      </c>
      <c r="C109" s="271"/>
      <c r="D109" s="271"/>
      <c r="E109" s="45">
        <f>E100-E102</f>
        <v>119485.26376</v>
      </c>
    </row>
    <row r="110" spans="1:5" ht="28.5" customHeight="1">
      <c r="A110" s="42">
        <v>14</v>
      </c>
      <c r="B110" s="271" t="s">
        <v>738</v>
      </c>
      <c r="C110" s="271"/>
      <c r="D110" s="271"/>
      <c r="E110" s="45">
        <f>E103-E105</f>
        <v>261780.3</v>
      </c>
    </row>
    <row r="111" spans="1:5" ht="30" customHeight="1">
      <c r="A111" s="42">
        <v>15</v>
      </c>
      <c r="B111" s="271" t="s">
        <v>2273</v>
      </c>
      <c r="C111" s="271"/>
      <c r="D111" s="271"/>
      <c r="E111" s="45">
        <f>E101-E102</f>
        <v>-880095.3662400001</v>
      </c>
    </row>
    <row r="112" ht="15">
      <c r="E112" s="90"/>
    </row>
    <row r="113" spans="1:5" ht="120">
      <c r="A113" s="83" t="s">
        <v>492</v>
      </c>
      <c r="E113" s="90"/>
    </row>
    <row r="114" spans="1:5" ht="105">
      <c r="A114" s="83" t="s">
        <v>493</v>
      </c>
      <c r="E114" s="90"/>
    </row>
    <row r="115" spans="1:5" ht="255">
      <c r="A115" s="83" t="s">
        <v>494</v>
      </c>
      <c r="E115" s="90"/>
    </row>
    <row r="116" spans="1:5" ht="105">
      <c r="A116" s="83" t="s">
        <v>495</v>
      </c>
      <c r="E116" s="90"/>
    </row>
  </sheetData>
  <sheetProtection/>
  <mergeCells count="33">
    <mergeCell ref="A44:D44"/>
    <mergeCell ref="A48:D48"/>
    <mergeCell ref="A61:D61"/>
    <mergeCell ref="B97:D97"/>
    <mergeCell ref="B96:D96"/>
    <mergeCell ref="A62:D62"/>
    <mergeCell ref="A72:D72"/>
    <mergeCell ref="A88:D88"/>
    <mergeCell ref="A92:D92"/>
    <mergeCell ref="A93:D93"/>
    <mergeCell ref="B102:D102"/>
    <mergeCell ref="B99:D99"/>
    <mergeCell ref="B94:D94"/>
    <mergeCell ref="B95:D95"/>
    <mergeCell ref="B101:D101"/>
    <mergeCell ref="B100:D100"/>
    <mergeCell ref="B98:D98"/>
    <mergeCell ref="B111:D111"/>
    <mergeCell ref="B103:D103"/>
    <mergeCell ref="B104:D104"/>
    <mergeCell ref="B105:D105"/>
    <mergeCell ref="B106:D106"/>
    <mergeCell ref="B109:D109"/>
    <mergeCell ref="B108:D108"/>
    <mergeCell ref="B107:D107"/>
    <mergeCell ref="B110:D110"/>
    <mergeCell ref="A33:D33"/>
    <mergeCell ref="B1:E1"/>
    <mergeCell ref="A5:D5"/>
    <mergeCell ref="A14:D14"/>
    <mergeCell ref="A18:D18"/>
    <mergeCell ref="B3:C3"/>
    <mergeCell ref="B4:C4"/>
  </mergeCells>
  <printOptions/>
  <pageMargins left="0.75" right="0.16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47"/>
  <sheetViews>
    <sheetView zoomScalePageLayoutView="0" workbookViewId="0" topLeftCell="A103">
      <selection activeCell="E116" sqref="E116"/>
    </sheetView>
  </sheetViews>
  <sheetFormatPr defaultColWidth="13.421875" defaultRowHeight="12.75" outlineLevelRow="2"/>
  <cols>
    <col min="1" max="1" width="2.7109375" style="1" customWidth="1"/>
    <col min="2" max="2" width="15.7109375" style="1" customWidth="1"/>
    <col min="3" max="3" width="12.00390625" style="1" customWidth="1"/>
    <col min="4" max="4" width="55.140625" style="1" customWidth="1"/>
    <col min="5" max="5" width="14.2812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>
      <c r="A1" s="42"/>
      <c r="B1" s="354" t="s">
        <v>2214</v>
      </c>
      <c r="C1" s="355"/>
      <c r="D1" s="355"/>
      <c r="E1" s="355"/>
    </row>
    <row r="2" spans="1:5" ht="15.75" thickBot="1">
      <c r="A2" s="42"/>
      <c r="B2" s="205"/>
      <c r="C2" s="206"/>
      <c r="D2" s="206"/>
      <c r="E2" s="206"/>
    </row>
    <row r="3" spans="1:6" ht="30">
      <c r="A3" s="42"/>
      <c r="B3" s="133" t="s">
        <v>1570</v>
      </c>
      <c r="C3" s="134" t="s">
        <v>1571</v>
      </c>
      <c r="D3" s="113" t="s">
        <v>1572</v>
      </c>
      <c r="E3" s="135" t="s">
        <v>1573</v>
      </c>
      <c r="F3" s="6"/>
    </row>
    <row r="4" spans="1:5" ht="15">
      <c r="A4" s="91"/>
      <c r="B4" s="308"/>
      <c r="C4" s="308"/>
      <c r="D4" s="155" t="s">
        <v>1575</v>
      </c>
      <c r="E4" s="130">
        <f>E5+E7+E9+E11+E13+E15</f>
        <v>121110.85</v>
      </c>
    </row>
    <row r="5" spans="1:5" ht="13.5" customHeight="1" outlineLevel="1">
      <c r="A5" s="255" t="s">
        <v>1576</v>
      </c>
      <c r="B5" s="256"/>
      <c r="C5" s="256"/>
      <c r="D5" s="257"/>
      <c r="E5" s="105">
        <f>SUM(E6:E6)</f>
        <v>50132.17</v>
      </c>
    </row>
    <row r="6" spans="1:6" ht="15" outlineLevel="2">
      <c r="A6" s="81"/>
      <c r="B6" s="84" t="s">
        <v>2288</v>
      </c>
      <c r="C6" s="84" t="s">
        <v>1587</v>
      </c>
      <c r="D6" s="84" t="s">
        <v>2402</v>
      </c>
      <c r="E6" s="106">
        <v>50132.17</v>
      </c>
      <c r="F6" s="14"/>
    </row>
    <row r="7" spans="1:5" ht="13.5" customHeight="1" outlineLevel="1">
      <c r="A7" s="255" t="s">
        <v>1591</v>
      </c>
      <c r="B7" s="256"/>
      <c r="C7" s="256"/>
      <c r="D7" s="257"/>
      <c r="E7" s="105">
        <f>SUM(E8:E8)</f>
        <v>3358.82</v>
      </c>
    </row>
    <row r="8" spans="1:6" ht="15" outlineLevel="2">
      <c r="A8" s="81"/>
      <c r="B8" s="84" t="s">
        <v>1125</v>
      </c>
      <c r="C8" s="84" t="s">
        <v>1587</v>
      </c>
      <c r="D8" s="84" t="s">
        <v>1126</v>
      </c>
      <c r="E8" s="106">
        <v>3358.82</v>
      </c>
      <c r="F8" s="14"/>
    </row>
    <row r="9" spans="1:5" ht="13.5" customHeight="1" outlineLevel="1">
      <c r="A9" s="255" t="s">
        <v>1593</v>
      </c>
      <c r="B9" s="256"/>
      <c r="C9" s="256"/>
      <c r="D9" s="257"/>
      <c r="E9" s="105">
        <f>SUM(E10:E10)</f>
        <v>10844.37</v>
      </c>
    </row>
    <row r="10" spans="1:6" ht="15" outlineLevel="2">
      <c r="A10" s="81"/>
      <c r="B10" s="84" t="s">
        <v>740</v>
      </c>
      <c r="C10" s="84" t="s">
        <v>1587</v>
      </c>
      <c r="D10" s="84" t="s">
        <v>741</v>
      </c>
      <c r="E10" s="106">
        <v>10844.37</v>
      </c>
      <c r="F10" s="14"/>
    </row>
    <row r="11" spans="1:5" ht="12.75" customHeight="1" outlineLevel="1">
      <c r="A11" s="255" t="s">
        <v>1595</v>
      </c>
      <c r="B11" s="256"/>
      <c r="C11" s="256"/>
      <c r="D11" s="257"/>
      <c r="E11" s="105">
        <f>SUM(E12:E12)</f>
        <v>36.24</v>
      </c>
    </row>
    <row r="12" spans="1:6" ht="15" outlineLevel="2">
      <c r="A12" s="81"/>
      <c r="B12" s="84" t="s">
        <v>1133</v>
      </c>
      <c r="C12" s="84" t="s">
        <v>1587</v>
      </c>
      <c r="D12" s="84" t="s">
        <v>1134</v>
      </c>
      <c r="E12" s="106">
        <v>36.24</v>
      </c>
      <c r="F12" s="14"/>
    </row>
    <row r="13" spans="1:5" ht="12.75" customHeight="1" outlineLevel="1">
      <c r="A13" s="255" t="s">
        <v>1597</v>
      </c>
      <c r="B13" s="256"/>
      <c r="C13" s="256"/>
      <c r="D13" s="257"/>
      <c r="E13" s="105">
        <f>SUM(E14:E14)</f>
        <v>46728</v>
      </c>
    </row>
    <row r="14" spans="1:6" ht="15" outlineLevel="2">
      <c r="A14" s="81"/>
      <c r="B14" s="84" t="s">
        <v>511</v>
      </c>
      <c r="C14" s="84" t="s">
        <v>1584</v>
      </c>
      <c r="D14" s="84" t="s">
        <v>512</v>
      </c>
      <c r="E14" s="106">
        <v>46728</v>
      </c>
      <c r="F14" s="14"/>
    </row>
    <row r="15" spans="1:5" ht="12" customHeight="1" outlineLevel="1">
      <c r="A15" s="255" t="s">
        <v>1599</v>
      </c>
      <c r="B15" s="256"/>
      <c r="C15" s="256"/>
      <c r="D15" s="257"/>
      <c r="E15" s="105">
        <f>SUM(E16:E16)</f>
        <v>10011.25</v>
      </c>
    </row>
    <row r="16" spans="1:6" ht="13.5" customHeight="1" outlineLevel="2">
      <c r="A16" s="42"/>
      <c r="B16" s="84" t="s">
        <v>1019</v>
      </c>
      <c r="C16" s="84" t="s">
        <v>1580</v>
      </c>
      <c r="D16" s="84" t="s">
        <v>2372</v>
      </c>
      <c r="E16" s="106">
        <v>10011.25</v>
      </c>
      <c r="F16" s="14"/>
    </row>
    <row r="17" spans="1:5" ht="13.5" customHeight="1">
      <c r="A17" s="91"/>
      <c r="B17" s="308"/>
      <c r="C17" s="308"/>
      <c r="D17" s="155" t="s">
        <v>1600</v>
      </c>
      <c r="E17" s="130">
        <f>E18+E30+E33+E45+E55+E57+E63+E76+E77+E86+E88+E104+E111+E112</f>
        <v>533790.834</v>
      </c>
    </row>
    <row r="18" spans="1:5" ht="12.75" customHeight="1" outlineLevel="1">
      <c r="A18" s="255" t="s">
        <v>1576</v>
      </c>
      <c r="B18" s="256"/>
      <c r="C18" s="256"/>
      <c r="D18" s="257"/>
      <c r="E18" s="105">
        <f>SUM(E19:E29)</f>
        <v>29275.600000000002</v>
      </c>
    </row>
    <row r="19" spans="1:6" ht="30" outlineLevel="2">
      <c r="A19" s="42"/>
      <c r="B19" s="83" t="s">
        <v>8</v>
      </c>
      <c r="C19" s="83" t="s">
        <v>1578</v>
      </c>
      <c r="D19" s="83" t="s">
        <v>846</v>
      </c>
      <c r="E19" s="106">
        <v>1903.98</v>
      </c>
      <c r="F19" s="14"/>
    </row>
    <row r="20" spans="1:6" ht="14.25" customHeight="1" outlineLevel="2">
      <c r="A20" s="42"/>
      <c r="B20" s="83" t="s">
        <v>878</v>
      </c>
      <c r="C20" s="83" t="s">
        <v>1579</v>
      </c>
      <c r="D20" s="83" t="s">
        <v>2216</v>
      </c>
      <c r="E20" s="106">
        <v>534.2</v>
      </c>
      <c r="F20" s="14"/>
    </row>
    <row r="21" spans="1:6" ht="15" outlineLevel="2">
      <c r="A21" s="42"/>
      <c r="B21" s="83" t="s">
        <v>2</v>
      </c>
      <c r="C21" s="83" t="s">
        <v>1580</v>
      </c>
      <c r="D21" s="83" t="s">
        <v>2277</v>
      </c>
      <c r="E21" s="106">
        <v>65.07</v>
      </c>
      <c r="F21" s="14"/>
    </row>
    <row r="22" spans="1:6" ht="15" outlineLevel="2">
      <c r="A22" s="42"/>
      <c r="B22" s="83" t="s">
        <v>182</v>
      </c>
      <c r="C22" s="83" t="s">
        <v>1580</v>
      </c>
      <c r="D22" s="83" t="s">
        <v>1395</v>
      </c>
      <c r="E22" s="106">
        <v>3548.69</v>
      </c>
      <c r="F22" s="14"/>
    </row>
    <row r="23" spans="1:6" ht="29.25" customHeight="1" outlineLevel="2">
      <c r="A23" s="42"/>
      <c r="B23" s="83" t="s">
        <v>1213</v>
      </c>
      <c r="C23" s="83" t="s">
        <v>1582</v>
      </c>
      <c r="D23" s="83" t="s">
        <v>509</v>
      </c>
      <c r="E23" s="106">
        <v>704.38</v>
      </c>
      <c r="F23" s="14"/>
    </row>
    <row r="24" spans="1:6" ht="15" outlineLevel="2">
      <c r="A24" s="42"/>
      <c r="B24" s="83" t="s">
        <v>1695</v>
      </c>
      <c r="C24" s="83" t="s">
        <v>1583</v>
      </c>
      <c r="D24" s="83" t="s">
        <v>1150</v>
      </c>
      <c r="E24" s="106">
        <v>12789.1</v>
      </c>
      <c r="F24" s="14"/>
    </row>
    <row r="25" spans="1:6" ht="15" outlineLevel="2">
      <c r="A25" s="42"/>
      <c r="B25" s="83" t="s">
        <v>26</v>
      </c>
      <c r="C25" s="83" t="s">
        <v>1583</v>
      </c>
      <c r="D25" s="83" t="s">
        <v>2408</v>
      </c>
      <c r="E25" s="106">
        <v>2049.25</v>
      </c>
      <c r="F25" s="14"/>
    </row>
    <row r="26" spans="1:6" ht="15" outlineLevel="2">
      <c r="A26" s="42"/>
      <c r="B26" s="83" t="s">
        <v>1033</v>
      </c>
      <c r="C26" s="83" t="s">
        <v>1583</v>
      </c>
      <c r="D26" s="83" t="s">
        <v>509</v>
      </c>
      <c r="E26" s="106">
        <v>3230.76</v>
      </c>
      <c r="F26" s="14"/>
    </row>
    <row r="27" spans="1:6" ht="15" outlineLevel="2">
      <c r="A27" s="42"/>
      <c r="B27" s="83" t="s">
        <v>2</v>
      </c>
      <c r="C27" s="83" t="s">
        <v>1583</v>
      </c>
      <c r="D27" s="83" t="s">
        <v>855</v>
      </c>
      <c r="E27" s="106">
        <v>240.45</v>
      </c>
      <c r="F27" s="14"/>
    </row>
    <row r="28" spans="1:6" ht="15" outlineLevel="2">
      <c r="A28" s="42"/>
      <c r="B28" s="83" t="s">
        <v>29</v>
      </c>
      <c r="C28" s="83" t="s">
        <v>1584</v>
      </c>
      <c r="D28" s="83" t="s">
        <v>728</v>
      </c>
      <c r="E28" s="106">
        <v>916.43</v>
      </c>
      <c r="F28" s="14"/>
    </row>
    <row r="29" spans="1:6" ht="15" outlineLevel="2">
      <c r="A29" s="42"/>
      <c r="B29" s="84" t="s">
        <v>214</v>
      </c>
      <c r="C29" s="83" t="s">
        <v>1588</v>
      </c>
      <c r="D29" s="84" t="s">
        <v>63</v>
      </c>
      <c r="E29" s="153">
        <v>3293.29</v>
      </c>
      <c r="F29" s="14"/>
    </row>
    <row r="30" spans="1:5" ht="12" customHeight="1" outlineLevel="1">
      <c r="A30" s="255" t="s">
        <v>1589</v>
      </c>
      <c r="B30" s="256"/>
      <c r="C30" s="256"/>
      <c r="D30" s="257"/>
      <c r="E30" s="105">
        <f>SUM(E31:E32)</f>
        <v>3027.49</v>
      </c>
    </row>
    <row r="31" spans="1:6" ht="45" outlineLevel="2">
      <c r="A31" s="42"/>
      <c r="B31" s="83" t="s">
        <v>1465</v>
      </c>
      <c r="C31" s="83" t="s">
        <v>1578</v>
      </c>
      <c r="D31" s="83" t="s">
        <v>236</v>
      </c>
      <c r="E31" s="106">
        <v>2983.49</v>
      </c>
      <c r="F31" s="14"/>
    </row>
    <row r="32" spans="1:6" ht="15" outlineLevel="2">
      <c r="A32" s="42"/>
      <c r="B32" s="83" t="s">
        <v>1072</v>
      </c>
      <c r="C32" s="83" t="s">
        <v>1588</v>
      </c>
      <c r="D32" s="83" t="s">
        <v>1073</v>
      </c>
      <c r="E32" s="106">
        <v>44</v>
      </c>
      <c r="F32" s="14"/>
    </row>
    <row r="33" spans="1:5" ht="12.75" customHeight="1" outlineLevel="1">
      <c r="A33" s="255" t="s">
        <v>1590</v>
      </c>
      <c r="B33" s="256"/>
      <c r="C33" s="256"/>
      <c r="D33" s="257"/>
      <c r="E33" s="105">
        <f>SUM(E34:E44)</f>
        <v>45643.299999999996</v>
      </c>
    </row>
    <row r="34" spans="1:6" ht="16.5" customHeight="1" outlineLevel="2">
      <c r="A34" s="42"/>
      <c r="B34" s="87" t="s">
        <v>1701</v>
      </c>
      <c r="C34" s="83" t="s">
        <v>1580</v>
      </c>
      <c r="D34" s="83" t="s">
        <v>833</v>
      </c>
      <c r="E34" s="106">
        <v>12803.7</v>
      </c>
      <c r="F34" s="14"/>
    </row>
    <row r="35" spans="1:6" ht="15" outlineLevel="2">
      <c r="A35" s="42"/>
      <c r="B35" s="87" t="s">
        <v>2182</v>
      </c>
      <c r="C35" s="83" t="s">
        <v>1580</v>
      </c>
      <c r="D35" s="83" t="s">
        <v>1175</v>
      </c>
      <c r="E35" s="106">
        <v>423.3</v>
      </c>
      <c r="F35" s="14"/>
    </row>
    <row r="36" spans="1:6" ht="15" outlineLevel="2">
      <c r="A36" s="42"/>
      <c r="B36" s="87" t="s">
        <v>1708</v>
      </c>
      <c r="C36" s="83" t="s">
        <v>1581</v>
      </c>
      <c r="D36" s="83" t="s">
        <v>2097</v>
      </c>
      <c r="E36" s="106">
        <v>82.76</v>
      </c>
      <c r="F36" s="14"/>
    </row>
    <row r="37" spans="1:6" ht="15" outlineLevel="2">
      <c r="A37" s="42"/>
      <c r="B37" s="87" t="s">
        <v>1249</v>
      </c>
      <c r="C37" s="83" t="s">
        <v>57</v>
      </c>
      <c r="D37" s="83" t="s">
        <v>2011</v>
      </c>
      <c r="E37" s="106">
        <v>84.48</v>
      </c>
      <c r="F37" s="14"/>
    </row>
    <row r="38" spans="1:6" ht="15" outlineLevel="2">
      <c r="A38" s="42"/>
      <c r="B38" s="87" t="s">
        <v>2</v>
      </c>
      <c r="C38" s="83" t="s">
        <v>57</v>
      </c>
      <c r="D38" s="83" t="s">
        <v>939</v>
      </c>
      <c r="E38" s="106">
        <v>165.51</v>
      </c>
      <c r="F38" s="14"/>
    </row>
    <row r="39" spans="1:6" ht="15" outlineLevel="2">
      <c r="A39" s="42"/>
      <c r="B39" s="87" t="s">
        <v>33</v>
      </c>
      <c r="C39" s="83" t="s">
        <v>1584</v>
      </c>
      <c r="D39" s="83" t="s">
        <v>703</v>
      </c>
      <c r="E39" s="106">
        <v>1995.6</v>
      </c>
      <c r="F39" s="14"/>
    </row>
    <row r="40" spans="1:6" ht="15" outlineLevel="2">
      <c r="A40" s="42"/>
      <c r="B40" s="87" t="s">
        <v>197</v>
      </c>
      <c r="C40" s="83" t="s">
        <v>1584</v>
      </c>
      <c r="D40" s="83" t="s">
        <v>760</v>
      </c>
      <c r="E40" s="106">
        <v>16883.1</v>
      </c>
      <c r="F40" s="14"/>
    </row>
    <row r="41" spans="1:6" ht="18" customHeight="1" outlineLevel="2">
      <c r="A41" s="42"/>
      <c r="B41" s="87" t="s">
        <v>2466</v>
      </c>
      <c r="C41" s="83" t="s">
        <v>1585</v>
      </c>
      <c r="D41" s="83" t="s">
        <v>2467</v>
      </c>
      <c r="E41" s="106">
        <v>5865</v>
      </c>
      <c r="F41" s="14"/>
    </row>
    <row r="42" spans="1:6" ht="18" customHeight="1" outlineLevel="2">
      <c r="A42" s="42"/>
      <c r="B42" s="87" t="s">
        <v>2425</v>
      </c>
      <c r="C42" s="83" t="s">
        <v>1586</v>
      </c>
      <c r="D42" s="83" t="s">
        <v>2426</v>
      </c>
      <c r="E42" s="106">
        <v>2882.37</v>
      </c>
      <c r="F42" s="14"/>
    </row>
    <row r="43" spans="1:6" ht="15" outlineLevel="2">
      <c r="A43" s="42"/>
      <c r="B43" s="87" t="s">
        <v>2</v>
      </c>
      <c r="C43" s="83" t="s">
        <v>1586</v>
      </c>
      <c r="D43" s="83" t="s">
        <v>783</v>
      </c>
      <c r="E43" s="106">
        <v>4411.95</v>
      </c>
      <c r="F43" s="14"/>
    </row>
    <row r="44" spans="1:6" ht="15" outlineLevel="2">
      <c r="A44" s="42"/>
      <c r="B44" s="87" t="s">
        <v>1199</v>
      </c>
      <c r="C44" s="83" t="s">
        <v>1587</v>
      </c>
      <c r="D44" s="83" t="s">
        <v>1179</v>
      </c>
      <c r="E44" s="106">
        <v>45.53</v>
      </c>
      <c r="F44" s="14"/>
    </row>
    <row r="45" spans="1:5" ht="15.75" customHeight="1" outlineLevel="1">
      <c r="A45" s="255" t="s">
        <v>1591</v>
      </c>
      <c r="B45" s="256"/>
      <c r="C45" s="256"/>
      <c r="D45" s="257"/>
      <c r="E45" s="105">
        <f>SUM(E46:E54)</f>
        <v>11832.68</v>
      </c>
    </row>
    <row r="46" spans="1:6" ht="15" customHeight="1" outlineLevel="2">
      <c r="A46" s="42"/>
      <c r="B46" s="88" t="s">
        <v>3</v>
      </c>
      <c r="C46" s="82" t="s">
        <v>1577</v>
      </c>
      <c r="D46" s="82" t="s">
        <v>298</v>
      </c>
      <c r="E46" s="106">
        <v>2951.26</v>
      </c>
      <c r="F46" s="14"/>
    </row>
    <row r="47" spans="1:6" ht="15" outlineLevel="2">
      <c r="A47" s="42"/>
      <c r="B47" s="87" t="s">
        <v>274</v>
      </c>
      <c r="C47" s="83" t="s">
        <v>1577</v>
      </c>
      <c r="D47" s="83" t="s">
        <v>275</v>
      </c>
      <c r="E47" s="106">
        <v>1059.4</v>
      </c>
      <c r="F47" s="14"/>
    </row>
    <row r="48" spans="1:6" ht="15" outlineLevel="2">
      <c r="A48" s="42"/>
      <c r="B48" s="87" t="s">
        <v>2329</v>
      </c>
      <c r="C48" s="83" t="s">
        <v>1578</v>
      </c>
      <c r="D48" s="83" t="s">
        <v>19</v>
      </c>
      <c r="E48" s="106">
        <v>137.27</v>
      </c>
      <c r="F48" s="14"/>
    </row>
    <row r="49" spans="1:6" ht="15" outlineLevel="2">
      <c r="A49" s="42"/>
      <c r="B49" s="87" t="s">
        <v>128</v>
      </c>
      <c r="C49" s="83" t="s">
        <v>1578</v>
      </c>
      <c r="D49" s="83" t="s">
        <v>2206</v>
      </c>
      <c r="E49" s="106">
        <v>858.62</v>
      </c>
      <c r="F49" s="14"/>
    </row>
    <row r="50" spans="1:6" ht="15" outlineLevel="2">
      <c r="A50" s="42"/>
      <c r="B50" s="87" t="s">
        <v>879</v>
      </c>
      <c r="C50" s="83" t="s">
        <v>1579</v>
      </c>
      <c r="D50" s="83" t="s">
        <v>315</v>
      </c>
      <c r="E50" s="106">
        <v>713.75</v>
      </c>
      <c r="F50" s="14"/>
    </row>
    <row r="51" spans="1:6" ht="30" outlineLevel="2">
      <c r="A51" s="42"/>
      <c r="B51" s="87" t="s">
        <v>1241</v>
      </c>
      <c r="C51" s="83" t="s">
        <v>1579</v>
      </c>
      <c r="D51" s="83" t="s">
        <v>1838</v>
      </c>
      <c r="E51" s="106">
        <v>2317.16</v>
      </c>
      <c r="F51" s="14"/>
    </row>
    <row r="52" spans="1:6" ht="15" outlineLevel="2">
      <c r="A52" s="42"/>
      <c r="B52" s="87" t="s">
        <v>484</v>
      </c>
      <c r="C52" s="83" t="s">
        <v>1580</v>
      </c>
      <c r="D52" s="83" t="s">
        <v>828</v>
      </c>
      <c r="E52" s="106">
        <v>876.9</v>
      </c>
      <c r="F52" s="14"/>
    </row>
    <row r="53" spans="1:6" ht="15" outlineLevel="2">
      <c r="A53" s="42"/>
      <c r="B53" s="87" t="s">
        <v>184</v>
      </c>
      <c r="C53" s="83" t="s">
        <v>1580</v>
      </c>
      <c r="D53" s="83" t="s">
        <v>2404</v>
      </c>
      <c r="E53" s="106">
        <v>898</v>
      </c>
      <c r="F53" s="14"/>
    </row>
    <row r="54" spans="1:6" ht="15" outlineLevel="2">
      <c r="A54" s="42"/>
      <c r="B54" s="87" t="s">
        <v>103</v>
      </c>
      <c r="C54" s="83" t="s">
        <v>1582</v>
      </c>
      <c r="D54" s="83" t="s">
        <v>306</v>
      </c>
      <c r="E54" s="106">
        <v>2020.32</v>
      </c>
      <c r="F54" s="14"/>
    </row>
    <row r="55" spans="1:5" ht="14.25" customHeight="1" outlineLevel="1">
      <c r="A55" s="255" t="s">
        <v>1594</v>
      </c>
      <c r="B55" s="256"/>
      <c r="C55" s="256"/>
      <c r="D55" s="257"/>
      <c r="E55" s="105">
        <f>SUM(E56:E56)</f>
        <v>49975</v>
      </c>
    </row>
    <row r="56" spans="1:6" ht="15" outlineLevel="2">
      <c r="A56" s="42"/>
      <c r="B56" s="87" t="s">
        <v>785</v>
      </c>
      <c r="C56" s="83" t="s">
        <v>1585</v>
      </c>
      <c r="D56" s="83" t="s">
        <v>786</v>
      </c>
      <c r="E56" s="106">
        <v>49975</v>
      </c>
      <c r="F56" s="14"/>
    </row>
    <row r="57" spans="1:5" ht="12.75" customHeight="1" outlineLevel="1">
      <c r="A57" s="255" t="s">
        <v>1599</v>
      </c>
      <c r="B57" s="256"/>
      <c r="C57" s="256"/>
      <c r="D57" s="257"/>
      <c r="E57" s="105">
        <f>SUM(E58:E62)</f>
        <v>30814.68</v>
      </c>
    </row>
    <row r="58" spans="1:6" ht="15" outlineLevel="2">
      <c r="A58" s="42"/>
      <c r="B58" s="83" t="s">
        <v>10</v>
      </c>
      <c r="C58" s="83" t="s">
        <v>1578</v>
      </c>
      <c r="D58" s="83" t="s">
        <v>2130</v>
      </c>
      <c r="E58" s="106">
        <v>187.5</v>
      </c>
      <c r="F58" s="14"/>
    </row>
    <row r="59" spans="1:6" ht="15" outlineLevel="2">
      <c r="A59" s="42"/>
      <c r="B59" s="83" t="s">
        <v>476</v>
      </c>
      <c r="C59" s="83" t="s">
        <v>1580</v>
      </c>
      <c r="D59" s="83" t="s">
        <v>477</v>
      </c>
      <c r="E59" s="106">
        <v>9630</v>
      </c>
      <c r="F59" s="14"/>
    </row>
    <row r="60" spans="1:6" ht="15" outlineLevel="2">
      <c r="A60" s="42"/>
      <c r="B60" s="83" t="s">
        <v>54</v>
      </c>
      <c r="C60" s="83" t="s">
        <v>1584</v>
      </c>
      <c r="D60" s="83" t="s">
        <v>2450</v>
      </c>
      <c r="E60" s="106">
        <v>9026</v>
      </c>
      <c r="F60" s="14"/>
    </row>
    <row r="61" spans="1:6" ht="30" outlineLevel="2">
      <c r="A61" s="42"/>
      <c r="B61" s="83" t="s">
        <v>1423</v>
      </c>
      <c r="C61" s="83" t="s">
        <v>1585</v>
      </c>
      <c r="D61" s="83" t="s">
        <v>1424</v>
      </c>
      <c r="E61" s="106">
        <v>11938.83</v>
      </c>
      <c r="F61" s="14"/>
    </row>
    <row r="62" spans="1:6" ht="15" outlineLevel="2">
      <c r="A62" s="42"/>
      <c r="B62" s="83" t="s">
        <v>398</v>
      </c>
      <c r="C62" s="83" t="s">
        <v>1586</v>
      </c>
      <c r="D62" s="83" t="s">
        <v>399</v>
      </c>
      <c r="E62" s="106">
        <v>32.35</v>
      </c>
      <c r="F62" s="14"/>
    </row>
    <row r="63" spans="1:5" ht="13.5" customHeight="1" outlineLevel="1" collapsed="1">
      <c r="A63" s="255" t="s">
        <v>1713</v>
      </c>
      <c r="B63" s="256"/>
      <c r="C63" s="256"/>
      <c r="D63" s="257"/>
      <c r="E63" s="105">
        <f>SUM(E64:E75)</f>
        <v>221013.81</v>
      </c>
    </row>
    <row r="64" spans="1:6" ht="15" hidden="1" outlineLevel="2">
      <c r="A64" s="42"/>
      <c r="B64" s="82"/>
      <c r="C64" s="82" t="s">
        <v>1577</v>
      </c>
      <c r="D64" s="82" t="s">
        <v>1496</v>
      </c>
      <c r="E64" s="106">
        <v>18805.19</v>
      </c>
      <c r="F64" s="14"/>
    </row>
    <row r="65" spans="1:6" ht="15" hidden="1" outlineLevel="2">
      <c r="A65" s="42"/>
      <c r="B65" s="83"/>
      <c r="C65" s="83" t="s">
        <v>1578</v>
      </c>
      <c r="D65" s="83" t="s">
        <v>1496</v>
      </c>
      <c r="E65" s="106">
        <v>18805.19</v>
      </c>
      <c r="F65" s="14"/>
    </row>
    <row r="66" spans="1:6" ht="15" hidden="1" outlineLevel="2">
      <c r="A66" s="42"/>
      <c r="B66" s="83"/>
      <c r="C66" s="83" t="s">
        <v>1579</v>
      </c>
      <c r="D66" s="83" t="s">
        <v>1496</v>
      </c>
      <c r="E66" s="106">
        <v>18805.19</v>
      </c>
      <c r="F66" s="14"/>
    </row>
    <row r="67" spans="1:6" ht="15" hidden="1" outlineLevel="2">
      <c r="A67" s="42"/>
      <c r="B67" s="83"/>
      <c r="C67" s="83" t="s">
        <v>1580</v>
      </c>
      <c r="D67" s="83" t="s">
        <v>1496</v>
      </c>
      <c r="E67" s="106">
        <v>18805.19</v>
      </c>
      <c r="F67" s="14"/>
    </row>
    <row r="68" spans="1:6" ht="15" hidden="1" outlineLevel="2">
      <c r="A68" s="42"/>
      <c r="B68" s="83"/>
      <c r="C68" s="83" t="s">
        <v>1581</v>
      </c>
      <c r="D68" s="83" t="s">
        <v>1496</v>
      </c>
      <c r="E68" s="106">
        <v>17344.28</v>
      </c>
      <c r="F68" s="14"/>
    </row>
    <row r="69" spans="1:6" ht="15" hidden="1" outlineLevel="2">
      <c r="A69" s="42"/>
      <c r="B69" s="83"/>
      <c r="C69" s="83" t="s">
        <v>1582</v>
      </c>
      <c r="D69" s="83" t="s">
        <v>1496</v>
      </c>
      <c r="E69" s="106">
        <v>18008.3</v>
      </c>
      <c r="F69" s="14"/>
    </row>
    <row r="70" spans="1:6" ht="15" hidden="1" outlineLevel="2">
      <c r="A70" s="42"/>
      <c r="B70" s="83"/>
      <c r="C70" s="83" t="s">
        <v>1583</v>
      </c>
      <c r="D70" s="83" t="s">
        <v>1496</v>
      </c>
      <c r="E70" s="106">
        <v>18008.3</v>
      </c>
      <c r="F70" s="14"/>
    </row>
    <row r="71" spans="1:6" ht="15" hidden="1" outlineLevel="2">
      <c r="A71" s="42"/>
      <c r="B71" s="83"/>
      <c r="C71" s="83" t="s">
        <v>1584</v>
      </c>
      <c r="D71" s="83" t="s">
        <v>1496</v>
      </c>
      <c r="E71" s="106">
        <v>18008.3</v>
      </c>
      <c r="F71" s="14"/>
    </row>
    <row r="72" spans="1:6" ht="15" hidden="1" outlineLevel="2">
      <c r="A72" s="42"/>
      <c r="B72" s="83"/>
      <c r="C72" s="83" t="s">
        <v>1585</v>
      </c>
      <c r="D72" s="83" t="s">
        <v>1496</v>
      </c>
      <c r="E72" s="106">
        <v>18008.3</v>
      </c>
      <c r="F72" s="14"/>
    </row>
    <row r="73" spans="1:6" ht="15" hidden="1" outlineLevel="2">
      <c r="A73" s="42"/>
      <c r="B73" s="83"/>
      <c r="C73" s="83" t="s">
        <v>1586</v>
      </c>
      <c r="D73" s="83" t="s">
        <v>1496</v>
      </c>
      <c r="E73" s="106">
        <v>18805.19</v>
      </c>
      <c r="F73" s="14"/>
    </row>
    <row r="74" spans="1:6" ht="15" hidden="1" outlineLevel="2">
      <c r="A74" s="42"/>
      <c r="B74" s="83"/>
      <c r="C74" s="83" t="s">
        <v>1587</v>
      </c>
      <c r="D74" s="83" t="s">
        <v>1496</v>
      </c>
      <c r="E74" s="106">
        <v>18805.19</v>
      </c>
      <c r="F74" s="14"/>
    </row>
    <row r="75" spans="1:6" ht="15" hidden="1" outlineLevel="2">
      <c r="A75" s="42"/>
      <c r="B75" s="89"/>
      <c r="C75" s="83" t="s">
        <v>1588</v>
      </c>
      <c r="D75" s="83" t="s">
        <v>1496</v>
      </c>
      <c r="E75" s="106">
        <v>18805.19</v>
      </c>
      <c r="F75" s="14"/>
    </row>
    <row r="76" spans="1:5" ht="13.5" customHeight="1" outlineLevel="1">
      <c r="A76" s="255" t="s">
        <v>1714</v>
      </c>
      <c r="B76" s="256"/>
      <c r="C76" s="256"/>
      <c r="D76" s="257"/>
      <c r="E76" s="105">
        <f>1.46*5312.2*12</f>
        <v>93069.744</v>
      </c>
    </row>
    <row r="77" spans="1:5" ht="14.25" customHeight="1" outlineLevel="1">
      <c r="A77" s="255" t="s">
        <v>1715</v>
      </c>
      <c r="B77" s="256"/>
      <c r="C77" s="256"/>
      <c r="D77" s="257"/>
      <c r="E77" s="105">
        <f>SUM(E78:E85)</f>
        <v>4095.0500000000006</v>
      </c>
    </row>
    <row r="78" spans="1:6" ht="15" outlineLevel="2">
      <c r="A78" s="42"/>
      <c r="B78" s="83" t="s">
        <v>197</v>
      </c>
      <c r="C78" s="83" t="s">
        <v>1578</v>
      </c>
      <c r="D78" s="83" t="s">
        <v>1495</v>
      </c>
      <c r="E78" s="106">
        <v>477.36</v>
      </c>
      <c r="F78" s="14"/>
    </row>
    <row r="79" spans="1:6" ht="15" outlineLevel="2">
      <c r="A79" s="42"/>
      <c r="B79" s="83" t="s">
        <v>2132</v>
      </c>
      <c r="C79" s="83" t="s">
        <v>1579</v>
      </c>
      <c r="D79" s="83" t="s">
        <v>1500</v>
      </c>
      <c r="E79" s="106">
        <v>17.57</v>
      </c>
      <c r="F79" s="14"/>
    </row>
    <row r="80" spans="1:6" ht="15" outlineLevel="2">
      <c r="A80" s="42"/>
      <c r="B80" s="83" t="s">
        <v>1313</v>
      </c>
      <c r="C80" s="83" t="s">
        <v>1583</v>
      </c>
      <c r="D80" s="83" t="s">
        <v>110</v>
      </c>
      <c r="E80" s="106">
        <v>949.51</v>
      </c>
      <c r="F80" s="14"/>
    </row>
    <row r="81" spans="1:6" ht="15" outlineLevel="2">
      <c r="A81" s="42"/>
      <c r="B81" s="83" t="s">
        <v>53</v>
      </c>
      <c r="C81" s="83" t="s">
        <v>1583</v>
      </c>
      <c r="D81" s="83" t="s">
        <v>110</v>
      </c>
      <c r="E81" s="106">
        <v>746.2</v>
      </c>
      <c r="F81" s="14"/>
    </row>
    <row r="82" spans="1:6" ht="17.25" customHeight="1" outlineLevel="2">
      <c r="A82" s="42"/>
      <c r="B82" s="83" t="s">
        <v>1033</v>
      </c>
      <c r="C82" s="83" t="s">
        <v>1584</v>
      </c>
      <c r="D82" s="83" t="s">
        <v>762</v>
      </c>
      <c r="E82" s="106">
        <v>621.47</v>
      </c>
      <c r="F82" s="14"/>
    </row>
    <row r="83" spans="1:6" ht="15" outlineLevel="2">
      <c r="A83" s="42"/>
      <c r="B83" s="83" t="s">
        <v>544</v>
      </c>
      <c r="C83" s="83" t="s">
        <v>1586</v>
      </c>
      <c r="D83" s="83" t="s">
        <v>1005</v>
      </c>
      <c r="E83" s="106">
        <v>585.23</v>
      </c>
      <c r="F83" s="14"/>
    </row>
    <row r="84" spans="1:6" ht="15" outlineLevel="2">
      <c r="A84" s="42"/>
      <c r="B84" s="83" t="s">
        <v>206</v>
      </c>
      <c r="C84" s="83" t="s">
        <v>1587</v>
      </c>
      <c r="D84" s="83" t="s">
        <v>207</v>
      </c>
      <c r="E84" s="106">
        <v>278.3</v>
      </c>
      <c r="F84" s="14"/>
    </row>
    <row r="85" spans="1:6" ht="15" outlineLevel="2">
      <c r="A85" s="42"/>
      <c r="B85" s="83" t="s">
        <v>1958</v>
      </c>
      <c r="C85" s="83" t="s">
        <v>1588</v>
      </c>
      <c r="D85" s="83" t="s">
        <v>1960</v>
      </c>
      <c r="E85" s="106">
        <v>419.41</v>
      </c>
      <c r="F85" s="14"/>
    </row>
    <row r="86" spans="1:5" ht="14.25" customHeight="1" outlineLevel="1">
      <c r="A86" s="255" t="s">
        <v>1716</v>
      </c>
      <c r="B86" s="256"/>
      <c r="C86" s="256"/>
      <c r="D86" s="257"/>
      <c r="E86" s="105">
        <f>SUM(E87:E87)</f>
        <v>1296.7</v>
      </c>
    </row>
    <row r="87" spans="1:6" ht="15" outlineLevel="2">
      <c r="A87" s="42"/>
      <c r="B87" s="83" t="s">
        <v>55</v>
      </c>
      <c r="C87" s="83" t="s">
        <v>1584</v>
      </c>
      <c r="D87" s="83" t="s">
        <v>933</v>
      </c>
      <c r="E87" s="106">
        <v>1296.7</v>
      </c>
      <c r="F87" s="14"/>
    </row>
    <row r="88" spans="1:5" ht="12" customHeight="1" outlineLevel="1">
      <c r="A88" s="255" t="s">
        <v>1595</v>
      </c>
      <c r="B88" s="256"/>
      <c r="C88" s="256"/>
      <c r="D88" s="257"/>
      <c r="E88" s="105">
        <f>SUM(E89:E103)</f>
        <v>29573.59</v>
      </c>
    </row>
    <row r="89" spans="1:6" ht="16.5" customHeight="1" outlineLevel="2">
      <c r="A89" s="42"/>
      <c r="B89" s="82" t="s">
        <v>5</v>
      </c>
      <c r="C89" s="82" t="s">
        <v>1577</v>
      </c>
      <c r="D89" s="82" t="s">
        <v>670</v>
      </c>
      <c r="E89" s="106">
        <v>299.5</v>
      </c>
      <c r="F89" s="14"/>
    </row>
    <row r="90" spans="1:6" ht="15" outlineLevel="2">
      <c r="A90" s="42"/>
      <c r="B90" s="83" t="s">
        <v>64</v>
      </c>
      <c r="C90" s="83" t="s">
        <v>1577</v>
      </c>
      <c r="D90" s="83" t="s">
        <v>373</v>
      </c>
      <c r="E90" s="106">
        <v>4.7</v>
      </c>
      <c r="F90" s="14"/>
    </row>
    <row r="91" spans="1:6" ht="15" outlineLevel="2">
      <c r="A91" s="42"/>
      <c r="B91" s="83" t="s">
        <v>478</v>
      </c>
      <c r="C91" s="83" t="s">
        <v>1580</v>
      </c>
      <c r="D91" s="83" t="s">
        <v>480</v>
      </c>
      <c r="E91" s="106">
        <v>506.06</v>
      </c>
      <c r="F91" s="14"/>
    </row>
    <row r="92" spans="1:6" ht="15" outlineLevel="2">
      <c r="A92" s="42"/>
      <c r="B92" s="83" t="s">
        <v>1026</v>
      </c>
      <c r="C92" s="83" t="s">
        <v>1580</v>
      </c>
      <c r="D92" s="83" t="s">
        <v>2393</v>
      </c>
      <c r="E92" s="106">
        <v>797</v>
      </c>
      <c r="F92" s="14"/>
    </row>
    <row r="93" spans="1:6" ht="15.75" customHeight="1" outlineLevel="2">
      <c r="A93" s="42"/>
      <c r="B93" s="83" t="s">
        <v>1244</v>
      </c>
      <c r="C93" s="83" t="s">
        <v>1580</v>
      </c>
      <c r="D93" s="83" t="s">
        <v>2215</v>
      </c>
      <c r="E93" s="106">
        <v>2005.25</v>
      </c>
      <c r="F93" s="14"/>
    </row>
    <row r="94" spans="1:6" ht="15" outlineLevel="2">
      <c r="A94" s="42"/>
      <c r="B94" s="83" t="s">
        <v>1244</v>
      </c>
      <c r="C94" s="83" t="s">
        <v>1580</v>
      </c>
      <c r="D94" s="83" t="s">
        <v>669</v>
      </c>
      <c r="E94" s="106">
        <v>106.84</v>
      </c>
      <c r="F94" s="14"/>
    </row>
    <row r="95" spans="1:6" ht="15" outlineLevel="2">
      <c r="A95" s="42"/>
      <c r="B95" s="83" t="s">
        <v>1318</v>
      </c>
      <c r="C95" s="83" t="s">
        <v>1583</v>
      </c>
      <c r="D95" s="83" t="s">
        <v>1319</v>
      </c>
      <c r="E95" s="106">
        <v>322.84</v>
      </c>
      <c r="F95" s="14"/>
    </row>
    <row r="96" spans="1:6" ht="15" outlineLevel="2">
      <c r="A96" s="42"/>
      <c r="B96" s="83" t="s">
        <v>1172</v>
      </c>
      <c r="C96" s="83" t="s">
        <v>1583</v>
      </c>
      <c r="D96" s="83" t="s">
        <v>283</v>
      </c>
      <c r="E96" s="106">
        <v>9360</v>
      </c>
      <c r="F96" s="14"/>
    </row>
    <row r="97" spans="1:6" ht="15" outlineLevel="2">
      <c r="A97" s="42"/>
      <c r="B97" s="83" t="s">
        <v>2445</v>
      </c>
      <c r="C97" s="83" t="s">
        <v>1584</v>
      </c>
      <c r="D97" s="83" t="s">
        <v>2447</v>
      </c>
      <c r="E97" s="106">
        <v>2063.45</v>
      </c>
      <c r="F97" s="14"/>
    </row>
    <row r="98" spans="1:6" ht="15" outlineLevel="2">
      <c r="A98" s="42"/>
      <c r="B98" s="83" t="s">
        <v>31</v>
      </c>
      <c r="C98" s="83" t="s">
        <v>1584</v>
      </c>
      <c r="D98" s="83" t="s">
        <v>633</v>
      </c>
      <c r="E98" s="106">
        <v>3597.84</v>
      </c>
      <c r="F98" s="14"/>
    </row>
    <row r="99" spans="1:6" ht="15" outlineLevel="2">
      <c r="A99" s="42"/>
      <c r="B99" s="83" t="s">
        <v>2436</v>
      </c>
      <c r="C99" s="83" t="s">
        <v>1585</v>
      </c>
      <c r="D99" s="83" t="s">
        <v>2477</v>
      </c>
      <c r="E99" s="106">
        <v>4577</v>
      </c>
      <c r="F99" s="14"/>
    </row>
    <row r="100" spans="1:6" ht="15" outlineLevel="2">
      <c r="A100" s="42"/>
      <c r="B100" s="83" t="s">
        <v>528</v>
      </c>
      <c r="C100" s="83" t="s">
        <v>1586</v>
      </c>
      <c r="D100" s="83" t="s">
        <v>527</v>
      </c>
      <c r="E100" s="106">
        <v>2752</v>
      </c>
      <c r="F100" s="14"/>
    </row>
    <row r="101" spans="1:6" ht="15" outlineLevel="2">
      <c r="A101" s="42"/>
      <c r="B101" s="83" t="s">
        <v>548</v>
      </c>
      <c r="C101" s="83" t="s">
        <v>1586</v>
      </c>
      <c r="D101" s="83" t="s">
        <v>549</v>
      </c>
      <c r="E101" s="106">
        <v>2046.79</v>
      </c>
      <c r="F101" s="14"/>
    </row>
    <row r="102" spans="1:6" ht="15" outlineLevel="2">
      <c r="A102" s="42"/>
      <c r="B102" s="83" t="s">
        <v>1192</v>
      </c>
      <c r="C102" s="83" t="s">
        <v>1587</v>
      </c>
      <c r="D102" s="83" t="s">
        <v>1193</v>
      </c>
      <c r="E102" s="106">
        <v>43.16</v>
      </c>
      <c r="F102" s="14"/>
    </row>
    <row r="103" spans="1:6" ht="15" outlineLevel="2">
      <c r="A103" s="42"/>
      <c r="B103" s="83" t="s">
        <v>915</v>
      </c>
      <c r="C103" s="83" t="s">
        <v>1588</v>
      </c>
      <c r="D103" s="83" t="s">
        <v>916</v>
      </c>
      <c r="E103" s="106">
        <v>1091.16</v>
      </c>
      <c r="F103" s="14"/>
    </row>
    <row r="104" spans="1:5" ht="13.5" customHeight="1" outlineLevel="1">
      <c r="A104" s="255" t="s">
        <v>1718</v>
      </c>
      <c r="B104" s="256"/>
      <c r="C104" s="256"/>
      <c r="D104" s="257"/>
      <c r="E104" s="105">
        <f>SUM(E105:E110)</f>
        <v>4631.889999999999</v>
      </c>
    </row>
    <row r="105" spans="1:6" ht="15" outlineLevel="2">
      <c r="A105" s="42"/>
      <c r="B105" s="82" t="s">
        <v>83</v>
      </c>
      <c r="C105" s="82" t="s">
        <v>1577</v>
      </c>
      <c r="D105" s="82" t="s">
        <v>355</v>
      </c>
      <c r="E105" s="106">
        <v>329.6</v>
      </c>
      <c r="F105" s="14"/>
    </row>
    <row r="106" spans="1:6" ht="15.75" customHeight="1" outlineLevel="2">
      <c r="A106" s="42"/>
      <c r="B106" s="83" t="s">
        <v>190</v>
      </c>
      <c r="C106" s="83" t="s">
        <v>1577</v>
      </c>
      <c r="D106" s="83" t="s">
        <v>191</v>
      </c>
      <c r="E106" s="106">
        <v>33.47</v>
      </c>
      <c r="F106" s="14"/>
    </row>
    <row r="107" spans="1:6" ht="15" outlineLevel="2">
      <c r="A107" s="42"/>
      <c r="B107" s="83" t="s">
        <v>12</v>
      </c>
      <c r="C107" s="83" t="s">
        <v>1579</v>
      </c>
      <c r="D107" s="83" t="s">
        <v>1991</v>
      </c>
      <c r="E107" s="106">
        <v>1365.09</v>
      </c>
      <c r="F107" s="14"/>
    </row>
    <row r="108" spans="1:6" ht="15" outlineLevel="2">
      <c r="A108" s="42"/>
      <c r="B108" s="83" t="s">
        <v>2</v>
      </c>
      <c r="C108" s="83" t="s">
        <v>57</v>
      </c>
      <c r="D108" s="83" t="s">
        <v>719</v>
      </c>
      <c r="E108" s="106">
        <v>101.41</v>
      </c>
      <c r="F108" s="14"/>
    </row>
    <row r="109" spans="1:6" ht="15" outlineLevel="2">
      <c r="A109" s="42"/>
      <c r="B109" s="83" t="s">
        <v>2</v>
      </c>
      <c r="C109" s="83" t="s">
        <v>1581</v>
      </c>
      <c r="D109" s="83" t="s">
        <v>2390</v>
      </c>
      <c r="E109" s="106">
        <v>2667.92</v>
      </c>
      <c r="F109" s="14"/>
    </row>
    <row r="110" spans="1:6" ht="15" outlineLevel="2">
      <c r="A110" s="42"/>
      <c r="B110" s="84" t="s">
        <v>2</v>
      </c>
      <c r="C110" s="84" t="s">
        <v>57</v>
      </c>
      <c r="D110" s="84" t="s">
        <v>936</v>
      </c>
      <c r="E110" s="106">
        <v>134.4</v>
      </c>
      <c r="F110" s="14"/>
    </row>
    <row r="111" spans="1:6" ht="15" customHeight="1" outlineLevel="2">
      <c r="A111" s="255" t="s">
        <v>0</v>
      </c>
      <c r="B111" s="256"/>
      <c r="C111" s="256"/>
      <c r="D111" s="257"/>
      <c r="E111" s="105">
        <f>0.1*5312.2*12</f>
        <v>6374.64</v>
      </c>
      <c r="F111" s="14"/>
    </row>
    <row r="112" spans="1:6" ht="13.5" customHeight="1" outlineLevel="2">
      <c r="A112" s="255" t="s">
        <v>1369</v>
      </c>
      <c r="B112" s="256"/>
      <c r="C112" s="256"/>
      <c r="D112" s="257"/>
      <c r="E112" s="105">
        <v>3166.66</v>
      </c>
      <c r="F112" s="14"/>
    </row>
    <row r="113" spans="1:6" ht="15">
      <c r="A113" s="42"/>
      <c r="B113" s="270" t="s">
        <v>59</v>
      </c>
      <c r="C113" s="270"/>
      <c r="D113" s="270"/>
      <c r="E113" s="43">
        <f>1.57*5312.2*12</f>
        <v>100081.848</v>
      </c>
      <c r="F113" s="14"/>
    </row>
    <row r="114" spans="1:6" ht="15">
      <c r="A114" s="42"/>
      <c r="B114" s="270" t="s">
        <v>256</v>
      </c>
      <c r="C114" s="270"/>
      <c r="D114" s="270"/>
      <c r="E114" s="43">
        <f>10.3*(E116+E117)/100</f>
        <v>133941.41424</v>
      </c>
      <c r="F114" s="14"/>
    </row>
    <row r="115" spans="1:5" ht="15">
      <c r="A115" s="42">
        <v>1</v>
      </c>
      <c r="B115" s="272" t="s">
        <v>659</v>
      </c>
      <c r="C115" s="272"/>
      <c r="D115" s="272"/>
      <c r="E115" s="44">
        <f>E114+E113+E17+E4</f>
        <v>888924.9462400001</v>
      </c>
    </row>
    <row r="116" spans="1:6" ht="15">
      <c r="A116" s="42">
        <v>2</v>
      </c>
      <c r="B116" s="270" t="s">
        <v>258</v>
      </c>
      <c r="C116" s="270"/>
      <c r="D116" s="270"/>
      <c r="E116" s="43">
        <v>1134664.56</v>
      </c>
      <c r="F116" s="14"/>
    </row>
    <row r="117" spans="1:5" ht="15">
      <c r="A117" s="42">
        <v>3</v>
      </c>
      <c r="B117" s="270" t="s">
        <v>259</v>
      </c>
      <c r="C117" s="270"/>
      <c r="D117" s="270"/>
      <c r="E117" s="43">
        <v>165737.52</v>
      </c>
    </row>
    <row r="118" spans="1:5" ht="15">
      <c r="A118" s="42">
        <v>4</v>
      </c>
      <c r="B118" s="270" t="s">
        <v>660</v>
      </c>
      <c r="C118" s="270"/>
      <c r="D118" s="270"/>
      <c r="E118" s="43">
        <v>3570910.37</v>
      </c>
    </row>
    <row r="119" spans="1:5" ht="15">
      <c r="A119" s="42">
        <v>5</v>
      </c>
      <c r="B119" s="270" t="s">
        <v>2340</v>
      </c>
      <c r="C119" s="270"/>
      <c r="D119" s="270"/>
      <c r="E119" s="43">
        <v>2955013.95</v>
      </c>
    </row>
    <row r="120" spans="1:5" ht="15">
      <c r="A120" s="42">
        <v>6</v>
      </c>
      <c r="B120" s="272" t="s">
        <v>2341</v>
      </c>
      <c r="C120" s="272"/>
      <c r="D120" s="272"/>
      <c r="E120" s="44">
        <f>'[5]Мира 14'!$E$129+E115</f>
        <v>2774670.60624</v>
      </c>
    </row>
    <row r="121" spans="1:5" ht="15">
      <c r="A121" s="42">
        <v>7</v>
      </c>
      <c r="B121" s="270" t="s">
        <v>732</v>
      </c>
      <c r="C121" s="270"/>
      <c r="D121" s="270"/>
      <c r="E121" s="43">
        <v>518839.4</v>
      </c>
    </row>
    <row r="122" spans="1:5" ht="15">
      <c r="A122" s="42">
        <v>8</v>
      </c>
      <c r="B122" s="270" t="s">
        <v>733</v>
      </c>
      <c r="C122" s="270"/>
      <c r="D122" s="270"/>
      <c r="E122" s="43">
        <v>429434</v>
      </c>
    </row>
    <row r="123" spans="1:5" ht="15">
      <c r="A123" s="42">
        <v>9</v>
      </c>
      <c r="B123" s="272" t="s">
        <v>734</v>
      </c>
      <c r="C123" s="272"/>
      <c r="D123" s="272"/>
      <c r="E123" s="44">
        <f>'[5]Мира 13'!$E$115+E126</f>
        <v>0</v>
      </c>
    </row>
    <row r="124" spans="1:5" ht="15">
      <c r="A124" s="42">
        <v>10</v>
      </c>
      <c r="B124" s="270" t="s">
        <v>260</v>
      </c>
      <c r="C124" s="270"/>
      <c r="D124" s="270"/>
      <c r="E124" s="43">
        <v>1011462.03</v>
      </c>
    </row>
    <row r="125" spans="1:5" ht="15">
      <c r="A125" s="42">
        <v>11</v>
      </c>
      <c r="B125" s="270" t="s">
        <v>735</v>
      </c>
      <c r="C125" s="270"/>
      <c r="D125" s="270"/>
      <c r="E125" s="43">
        <v>147741.65</v>
      </c>
    </row>
    <row r="126" spans="1:5" ht="15">
      <c r="A126" s="42">
        <v>12</v>
      </c>
      <c r="B126" s="272" t="s">
        <v>736</v>
      </c>
      <c r="C126" s="272"/>
      <c r="D126" s="272"/>
      <c r="E126" s="44">
        <v>0</v>
      </c>
    </row>
    <row r="127" spans="1:5" ht="15.75" customHeight="1">
      <c r="A127" s="42">
        <v>13</v>
      </c>
      <c r="B127" s="271" t="s">
        <v>737</v>
      </c>
      <c r="C127" s="271"/>
      <c r="D127" s="271"/>
      <c r="E127" s="45">
        <f>E118-E120</f>
        <v>796239.76376</v>
      </c>
    </row>
    <row r="128" spans="1:5" ht="16.5" customHeight="1">
      <c r="A128" s="42">
        <v>14</v>
      </c>
      <c r="B128" s="271" t="s">
        <v>738</v>
      </c>
      <c r="C128" s="271"/>
      <c r="D128" s="271"/>
      <c r="E128" s="45">
        <f>E121-E123</f>
        <v>518839.4</v>
      </c>
    </row>
    <row r="129" spans="1:5" ht="15.75" customHeight="1">
      <c r="A129" s="42">
        <v>15</v>
      </c>
      <c r="B129" s="271" t="s">
        <v>739</v>
      </c>
      <c r="C129" s="271"/>
      <c r="D129" s="271"/>
      <c r="E129" s="45">
        <f>E119-E120</f>
        <v>180343.34376000008</v>
      </c>
    </row>
    <row r="130" ht="12.75">
      <c r="E130" s="39"/>
    </row>
    <row r="131" spans="5:8" ht="12.75">
      <c r="E131" s="39"/>
      <c r="H131" s="12" t="s">
        <v>492</v>
      </c>
    </row>
    <row r="132" spans="5:8" ht="12.75">
      <c r="E132" s="39"/>
      <c r="H132" s="12" t="s">
        <v>493</v>
      </c>
    </row>
    <row r="133" spans="2:8" ht="39.75">
      <c r="B133" s="254" t="s">
        <v>1994</v>
      </c>
      <c r="C133" s="254"/>
      <c r="D133" s="254"/>
      <c r="E133" s="241"/>
      <c r="H133" s="12" t="s">
        <v>494</v>
      </c>
    </row>
    <row r="134" spans="2:8" ht="20.25">
      <c r="B134" s="350" t="s">
        <v>2155</v>
      </c>
      <c r="C134" s="350"/>
      <c r="D134" s="350"/>
      <c r="E134" s="241"/>
      <c r="H134" s="12" t="s">
        <v>495</v>
      </c>
    </row>
    <row r="135" spans="2:5" ht="15.75">
      <c r="B135" s="243" t="s">
        <v>1995</v>
      </c>
      <c r="C135" s="243"/>
      <c r="D135" s="243"/>
      <c r="E135" s="251">
        <v>1077930</v>
      </c>
    </row>
    <row r="136" spans="2:5" ht="15.75">
      <c r="B136" s="351" t="s">
        <v>1996</v>
      </c>
      <c r="C136" s="352"/>
      <c r="D136" s="353"/>
      <c r="E136" s="252">
        <f>SUM(E137:E143)</f>
        <v>452000</v>
      </c>
    </row>
    <row r="137" spans="2:5" ht="15.75">
      <c r="B137" s="342" t="s">
        <v>2156</v>
      </c>
      <c r="C137" s="342"/>
      <c r="D137" s="342"/>
      <c r="E137" s="242">
        <v>60000</v>
      </c>
    </row>
    <row r="138" spans="2:5" ht="15.75">
      <c r="B138" s="346" t="s">
        <v>2161</v>
      </c>
      <c r="C138" s="347"/>
      <c r="D138" s="348"/>
      <c r="E138" s="242">
        <v>220000</v>
      </c>
    </row>
    <row r="139" spans="2:5" ht="15.75">
      <c r="B139" s="342" t="s">
        <v>2157</v>
      </c>
      <c r="C139" s="342"/>
      <c r="D139" s="342"/>
      <c r="E139" s="242">
        <v>10000</v>
      </c>
    </row>
    <row r="140" spans="2:5" ht="15.75">
      <c r="B140" s="349" t="s">
        <v>2158</v>
      </c>
      <c r="C140" s="349"/>
      <c r="D140" s="349"/>
      <c r="E140" s="253">
        <v>100000</v>
      </c>
    </row>
    <row r="141" spans="2:5" ht="15.75">
      <c r="B141" s="349" t="s">
        <v>2159</v>
      </c>
      <c r="C141" s="349"/>
      <c r="D141" s="349"/>
      <c r="E141" s="253">
        <v>30000</v>
      </c>
    </row>
    <row r="142" spans="2:5" ht="15.75">
      <c r="B142" s="248" t="s">
        <v>2160</v>
      </c>
      <c r="C142" s="250"/>
      <c r="D142" s="250"/>
      <c r="E142" s="253">
        <v>12000</v>
      </c>
    </row>
    <row r="143" spans="2:5" ht="15.75">
      <c r="B143" s="349" t="s">
        <v>1595</v>
      </c>
      <c r="C143" s="349"/>
      <c r="D143" s="349"/>
      <c r="E143" s="253">
        <v>20000</v>
      </c>
    </row>
    <row r="144" spans="2:5" ht="15.75">
      <c r="B144" s="343" t="s">
        <v>356</v>
      </c>
      <c r="C144" s="344"/>
      <c r="D144" s="345"/>
      <c r="E144" s="249">
        <v>391908</v>
      </c>
    </row>
    <row r="145" spans="2:5" ht="12.75">
      <c r="B145"/>
      <c r="C145"/>
      <c r="D145"/>
      <c r="E145"/>
    </row>
    <row r="146" spans="2:5" ht="12.75">
      <c r="B146"/>
      <c r="C146"/>
      <c r="D146"/>
      <c r="E146"/>
    </row>
    <row r="147" spans="2:5" ht="12.75">
      <c r="B147" t="s">
        <v>358</v>
      </c>
      <c r="C147"/>
      <c r="D147"/>
      <c r="E147"/>
    </row>
  </sheetData>
  <sheetProtection/>
  <mergeCells count="49">
    <mergeCell ref="A55:D55"/>
    <mergeCell ref="A57:D57"/>
    <mergeCell ref="B119:D119"/>
    <mergeCell ref="B118:D118"/>
    <mergeCell ref="B116:D116"/>
    <mergeCell ref="A76:D76"/>
    <mergeCell ref="A77:D77"/>
    <mergeCell ref="A86:D86"/>
    <mergeCell ref="A104:D104"/>
    <mergeCell ref="B117:D117"/>
    <mergeCell ref="A11:D11"/>
    <mergeCell ref="A13:D13"/>
    <mergeCell ref="A15:D15"/>
    <mergeCell ref="A18:D18"/>
    <mergeCell ref="B17:C17"/>
    <mergeCell ref="A45:D45"/>
    <mergeCell ref="A33:D33"/>
    <mergeCell ref="B120:D120"/>
    <mergeCell ref="B1:E1"/>
    <mergeCell ref="A5:D5"/>
    <mergeCell ref="A7:D7"/>
    <mergeCell ref="A9:D9"/>
    <mergeCell ref="B4:C4"/>
    <mergeCell ref="A30:D30"/>
    <mergeCell ref="A88:D88"/>
    <mergeCell ref="B115:D115"/>
    <mergeCell ref="B113:D113"/>
    <mergeCell ref="A63:D63"/>
    <mergeCell ref="A111:D111"/>
    <mergeCell ref="A112:D112"/>
    <mergeCell ref="B114:D114"/>
    <mergeCell ref="B129:D129"/>
    <mergeCell ref="B121:D121"/>
    <mergeCell ref="B122:D122"/>
    <mergeCell ref="B123:D123"/>
    <mergeCell ref="B124:D124"/>
    <mergeCell ref="B127:D127"/>
    <mergeCell ref="B128:D128"/>
    <mergeCell ref="B126:D126"/>
    <mergeCell ref="B125:D125"/>
    <mergeCell ref="B134:D134"/>
    <mergeCell ref="B136:D136"/>
    <mergeCell ref="B137:D137"/>
    <mergeCell ref="B139:D139"/>
    <mergeCell ref="B144:D144"/>
    <mergeCell ref="B138:D138"/>
    <mergeCell ref="B140:D140"/>
    <mergeCell ref="B141:D141"/>
    <mergeCell ref="B143:D143"/>
  </mergeCells>
  <printOptions/>
  <pageMargins left="0.17" right="0.17" top="0.31496062992125984" bottom="0.1968503937007874" header="0.17" footer="0.3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9"/>
  <sheetViews>
    <sheetView zoomScalePageLayoutView="0" workbookViewId="0" topLeftCell="A22">
      <selection activeCell="E114" sqref="A1:E114"/>
    </sheetView>
  </sheetViews>
  <sheetFormatPr defaultColWidth="13.421875" defaultRowHeight="12.75" outlineLevelRow="2"/>
  <cols>
    <col min="1" max="1" width="4.00390625" style="69" customWidth="1"/>
    <col min="2" max="2" width="11.8515625" style="1" customWidth="1"/>
    <col min="3" max="3" width="14.7109375" style="1" customWidth="1"/>
    <col min="4" max="4" width="80.281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.75" thickBot="1">
      <c r="A1" s="159"/>
      <c r="B1" s="333" t="s">
        <v>2217</v>
      </c>
      <c r="C1" s="334"/>
      <c r="D1" s="334"/>
      <c r="E1" s="335"/>
    </row>
    <row r="2" spans="1:6" ht="15">
      <c r="A2" s="70"/>
      <c r="B2" s="128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4.25">
      <c r="A3" s="160"/>
      <c r="B3" s="308"/>
      <c r="C3" s="308"/>
      <c r="D3" s="155" t="s">
        <v>1575</v>
      </c>
      <c r="E3" s="130">
        <f>E4</f>
        <v>6817.44</v>
      </c>
    </row>
    <row r="4" spans="1:5" ht="14.25" customHeight="1" outlineLevel="1">
      <c r="A4" s="255" t="s">
        <v>1595</v>
      </c>
      <c r="B4" s="256"/>
      <c r="C4" s="256"/>
      <c r="D4" s="257"/>
      <c r="E4" s="105">
        <f>SUM(E5:E5)</f>
        <v>6817.44</v>
      </c>
    </row>
    <row r="5" spans="1:6" ht="15" outlineLevel="2">
      <c r="A5" s="161"/>
      <c r="B5" s="162" t="s">
        <v>2438</v>
      </c>
      <c r="C5" s="84" t="s">
        <v>1586</v>
      </c>
      <c r="D5" s="84" t="s">
        <v>2437</v>
      </c>
      <c r="E5" s="106">
        <v>6817.44</v>
      </c>
      <c r="F5" s="14"/>
    </row>
    <row r="6" spans="1:5" ht="13.5" customHeight="1">
      <c r="A6" s="160"/>
      <c r="B6" s="308"/>
      <c r="C6" s="308"/>
      <c r="D6" s="155" t="s">
        <v>1600</v>
      </c>
      <c r="E6" s="130">
        <f>E7+E14+E23+E31+E41+E45+E54+E67+E68+E77+E90+E95+E96</f>
        <v>342000.292</v>
      </c>
    </row>
    <row r="7" spans="1:5" ht="13.5" customHeight="1" outlineLevel="1">
      <c r="A7" s="255" t="s">
        <v>1576</v>
      </c>
      <c r="B7" s="256"/>
      <c r="C7" s="256"/>
      <c r="D7" s="257"/>
      <c r="E7" s="105">
        <f>SUM(E8:E13)</f>
        <v>3673.8400000000006</v>
      </c>
    </row>
    <row r="8" spans="1:6" ht="15" outlineLevel="2">
      <c r="A8" s="70"/>
      <c r="B8" s="107" t="s">
        <v>182</v>
      </c>
      <c r="C8" s="83" t="s">
        <v>1580</v>
      </c>
      <c r="D8" s="83" t="s">
        <v>1432</v>
      </c>
      <c r="E8" s="106">
        <v>984.47</v>
      </c>
      <c r="F8" s="14"/>
    </row>
    <row r="9" spans="1:6" ht="15" outlineLevel="2">
      <c r="A9" s="70"/>
      <c r="B9" s="107" t="s">
        <v>2</v>
      </c>
      <c r="C9" s="83" t="s">
        <v>1580</v>
      </c>
      <c r="D9" s="83" t="s">
        <v>2277</v>
      </c>
      <c r="E9" s="106">
        <v>81.64</v>
      </c>
      <c r="F9" s="14"/>
    </row>
    <row r="10" spans="1:6" ht="15" outlineLevel="2">
      <c r="A10" s="70"/>
      <c r="B10" s="107" t="s">
        <v>875</v>
      </c>
      <c r="C10" s="83" t="s">
        <v>1582</v>
      </c>
      <c r="D10" s="83" t="s">
        <v>1851</v>
      </c>
      <c r="E10" s="106">
        <v>1108.85</v>
      </c>
      <c r="F10" s="14"/>
    </row>
    <row r="11" spans="1:6" ht="29.25" customHeight="1" outlineLevel="2">
      <c r="A11" s="70"/>
      <c r="B11" s="107" t="s">
        <v>508</v>
      </c>
      <c r="C11" s="83" t="s">
        <v>1583</v>
      </c>
      <c r="D11" s="83" t="s">
        <v>509</v>
      </c>
      <c r="E11" s="106">
        <v>341.8</v>
      </c>
      <c r="F11" s="14"/>
    </row>
    <row r="12" spans="1:6" ht="15" outlineLevel="2">
      <c r="A12" s="70"/>
      <c r="B12" s="107" t="s">
        <v>1033</v>
      </c>
      <c r="C12" s="83" t="s">
        <v>1583</v>
      </c>
      <c r="D12" s="83" t="s">
        <v>509</v>
      </c>
      <c r="E12" s="106">
        <v>1076.93</v>
      </c>
      <c r="F12" s="14"/>
    </row>
    <row r="13" spans="1:6" ht="15" outlineLevel="2">
      <c r="A13" s="70"/>
      <c r="B13" s="107" t="s">
        <v>2</v>
      </c>
      <c r="C13" s="83" t="s">
        <v>1583</v>
      </c>
      <c r="D13" s="83" t="s">
        <v>855</v>
      </c>
      <c r="E13" s="106">
        <v>80.15</v>
      </c>
      <c r="F13" s="14"/>
    </row>
    <row r="14" spans="1:5" ht="13.5" customHeight="1" outlineLevel="1">
      <c r="A14" s="255" t="s">
        <v>1589</v>
      </c>
      <c r="B14" s="256"/>
      <c r="C14" s="256"/>
      <c r="D14" s="257"/>
      <c r="E14" s="105">
        <f>SUM(E15:E22)</f>
        <v>19068.39</v>
      </c>
    </row>
    <row r="15" spans="1:6" ht="33.75" customHeight="1" outlineLevel="2">
      <c r="A15" s="70"/>
      <c r="B15" s="163" t="s">
        <v>276</v>
      </c>
      <c r="C15" s="82" t="s">
        <v>1577</v>
      </c>
      <c r="D15" s="82" t="s">
        <v>277</v>
      </c>
      <c r="E15" s="106">
        <v>232.3</v>
      </c>
      <c r="F15" s="14"/>
    </row>
    <row r="16" spans="1:6" ht="18" customHeight="1" outlineLevel="2">
      <c r="A16" s="70"/>
      <c r="B16" s="107" t="s">
        <v>876</v>
      </c>
      <c r="C16" s="83" t="s">
        <v>1578</v>
      </c>
      <c r="D16" s="83" t="s">
        <v>384</v>
      </c>
      <c r="E16" s="106">
        <v>279.5</v>
      </c>
      <c r="F16" s="14"/>
    </row>
    <row r="17" spans="1:6" ht="15" outlineLevel="2">
      <c r="A17" s="70"/>
      <c r="B17" s="107" t="s">
        <v>2429</v>
      </c>
      <c r="C17" s="83" t="s">
        <v>1578</v>
      </c>
      <c r="D17" s="83" t="s">
        <v>1431</v>
      </c>
      <c r="E17" s="106">
        <v>585.32</v>
      </c>
      <c r="F17" s="14"/>
    </row>
    <row r="18" spans="1:6" ht="15" outlineLevel="2">
      <c r="A18" s="70"/>
      <c r="B18" s="107" t="s">
        <v>1465</v>
      </c>
      <c r="C18" s="83" t="s">
        <v>1578</v>
      </c>
      <c r="D18" s="83" t="s">
        <v>238</v>
      </c>
      <c r="E18" s="106">
        <v>1233.48</v>
      </c>
      <c r="F18" s="14"/>
    </row>
    <row r="19" spans="1:6" ht="15" outlineLevel="2">
      <c r="A19" s="70"/>
      <c r="B19" s="107" t="s">
        <v>1489</v>
      </c>
      <c r="C19" s="83" t="s">
        <v>1580</v>
      </c>
      <c r="D19" s="83" t="s">
        <v>1432</v>
      </c>
      <c r="E19" s="106">
        <v>1901.2</v>
      </c>
      <c r="F19" s="14"/>
    </row>
    <row r="20" spans="1:6" ht="15" outlineLevel="2">
      <c r="A20" s="70"/>
      <c r="B20" s="107" t="s">
        <v>1306</v>
      </c>
      <c r="C20" s="83" t="s">
        <v>1583</v>
      </c>
      <c r="D20" s="83" t="s">
        <v>1307</v>
      </c>
      <c r="E20" s="106">
        <v>1035.86</v>
      </c>
      <c r="F20" s="14"/>
    </row>
    <row r="21" spans="1:6" ht="15" outlineLevel="2">
      <c r="A21" s="70"/>
      <c r="B21" s="107" t="s">
        <v>56</v>
      </c>
      <c r="C21" s="83" t="s">
        <v>1584</v>
      </c>
      <c r="D21" s="83" t="s">
        <v>2458</v>
      </c>
      <c r="E21" s="106">
        <v>2047.22</v>
      </c>
      <c r="F21" s="14"/>
    </row>
    <row r="22" spans="1:6" ht="15" outlineLevel="2">
      <c r="A22" s="70"/>
      <c r="B22" s="107" t="s">
        <v>746</v>
      </c>
      <c r="C22" s="83" t="s">
        <v>1587</v>
      </c>
      <c r="D22" s="83" t="s">
        <v>747</v>
      </c>
      <c r="E22" s="106">
        <v>11753.51</v>
      </c>
      <c r="F22" s="14"/>
    </row>
    <row r="23" spans="1:5" ht="13.5" customHeight="1" outlineLevel="1">
      <c r="A23" s="255" t="s">
        <v>1590</v>
      </c>
      <c r="B23" s="256"/>
      <c r="C23" s="256"/>
      <c r="D23" s="257"/>
      <c r="E23" s="105">
        <f>SUM(E24:E30)</f>
        <v>18850.95</v>
      </c>
    </row>
    <row r="24" spans="1:6" ht="15" outlineLevel="2">
      <c r="A24" s="70"/>
      <c r="B24" s="164" t="s">
        <v>836</v>
      </c>
      <c r="C24" s="83" t="s">
        <v>1580</v>
      </c>
      <c r="D24" s="83" t="s">
        <v>837</v>
      </c>
      <c r="E24" s="106">
        <v>5835.1</v>
      </c>
      <c r="F24" s="14"/>
    </row>
    <row r="25" spans="1:6" ht="15" outlineLevel="2">
      <c r="A25" s="70"/>
      <c r="B25" s="164" t="s">
        <v>2</v>
      </c>
      <c r="C25" s="83" t="s">
        <v>1581</v>
      </c>
      <c r="D25" s="83" t="s">
        <v>939</v>
      </c>
      <c r="E25" s="106">
        <v>165.51</v>
      </c>
      <c r="F25" s="14"/>
    </row>
    <row r="26" spans="1:6" ht="15" outlineLevel="2">
      <c r="A26" s="70"/>
      <c r="B26" s="164" t="s">
        <v>1689</v>
      </c>
      <c r="C26" s="83" t="s">
        <v>1582</v>
      </c>
      <c r="D26" s="83" t="s">
        <v>2405</v>
      </c>
      <c r="E26" s="106">
        <v>30.94</v>
      </c>
      <c r="F26" s="14"/>
    </row>
    <row r="27" spans="1:6" ht="15" outlineLevel="2">
      <c r="A27" s="70"/>
      <c r="B27" s="164" t="s">
        <v>197</v>
      </c>
      <c r="C27" s="83" t="s">
        <v>1584</v>
      </c>
      <c r="D27" s="83" t="s">
        <v>760</v>
      </c>
      <c r="E27" s="106">
        <v>5627.7</v>
      </c>
      <c r="F27" s="14"/>
    </row>
    <row r="28" spans="1:6" ht="30" outlineLevel="2">
      <c r="A28" s="70"/>
      <c r="B28" s="164" t="s">
        <v>192</v>
      </c>
      <c r="C28" s="83" t="s">
        <v>1586</v>
      </c>
      <c r="D28" s="83" t="s">
        <v>783</v>
      </c>
      <c r="E28" s="106">
        <v>1470.65</v>
      </c>
      <c r="F28" s="14"/>
    </row>
    <row r="29" spans="1:6" ht="15" outlineLevel="2">
      <c r="A29" s="70"/>
      <c r="B29" s="164" t="s">
        <v>1199</v>
      </c>
      <c r="C29" s="83" t="s">
        <v>1587</v>
      </c>
      <c r="D29" s="83" t="s">
        <v>1179</v>
      </c>
      <c r="E29" s="106">
        <v>45.53</v>
      </c>
      <c r="F29" s="14"/>
    </row>
    <row r="30" spans="1:6" ht="15" outlineLevel="2">
      <c r="A30" s="70"/>
      <c r="B30" s="164" t="s">
        <v>1371</v>
      </c>
      <c r="C30" s="83" t="s">
        <v>1588</v>
      </c>
      <c r="D30" s="83" t="s">
        <v>63</v>
      </c>
      <c r="E30" s="106">
        <v>5675.52</v>
      </c>
      <c r="F30" s="14"/>
    </row>
    <row r="31" spans="1:5" ht="13.5" customHeight="1" outlineLevel="1">
      <c r="A31" s="255" t="s">
        <v>1591</v>
      </c>
      <c r="B31" s="256"/>
      <c r="C31" s="256"/>
      <c r="D31" s="257"/>
      <c r="E31" s="105">
        <f>SUM(E32:E40)</f>
        <v>13171.720000000001</v>
      </c>
    </row>
    <row r="32" spans="1:6" ht="15" outlineLevel="2">
      <c r="A32" s="70"/>
      <c r="B32" s="165" t="s">
        <v>61</v>
      </c>
      <c r="C32" s="82" t="s">
        <v>1577</v>
      </c>
      <c r="D32" s="82" t="s">
        <v>2102</v>
      </c>
      <c r="E32" s="106">
        <v>350.9</v>
      </c>
      <c r="F32" s="14"/>
    </row>
    <row r="33" spans="1:6" ht="15" outlineLevel="2">
      <c r="A33" s="70"/>
      <c r="B33" s="164" t="s">
        <v>1986</v>
      </c>
      <c r="C33" s="83" t="s">
        <v>1577</v>
      </c>
      <c r="D33" s="83" t="s">
        <v>2083</v>
      </c>
      <c r="E33" s="106">
        <v>224.3</v>
      </c>
      <c r="F33" s="14"/>
    </row>
    <row r="34" spans="1:6" ht="15" outlineLevel="2">
      <c r="A34" s="70"/>
      <c r="B34" s="164" t="s">
        <v>871</v>
      </c>
      <c r="C34" s="83" t="s">
        <v>1577</v>
      </c>
      <c r="D34" s="83" t="s">
        <v>2102</v>
      </c>
      <c r="E34" s="106">
        <v>894</v>
      </c>
      <c r="F34" s="14"/>
    </row>
    <row r="35" spans="1:6" ht="15" outlineLevel="2">
      <c r="A35" s="70"/>
      <c r="B35" s="164" t="s">
        <v>768</v>
      </c>
      <c r="C35" s="83" t="s">
        <v>1578</v>
      </c>
      <c r="D35" s="83" t="s">
        <v>769</v>
      </c>
      <c r="E35" s="106">
        <v>526.54</v>
      </c>
      <c r="F35" s="14"/>
    </row>
    <row r="36" spans="1:6" ht="15" outlineLevel="2">
      <c r="A36" s="70"/>
      <c r="B36" s="164" t="s">
        <v>130</v>
      </c>
      <c r="C36" s="83" t="s">
        <v>1578</v>
      </c>
      <c r="D36" s="83" t="s">
        <v>766</v>
      </c>
      <c r="E36" s="106">
        <v>353.2</v>
      </c>
      <c r="F36" s="14"/>
    </row>
    <row r="37" spans="1:6" ht="15" outlineLevel="2">
      <c r="A37" s="70"/>
      <c r="B37" s="164" t="s">
        <v>484</v>
      </c>
      <c r="C37" s="83" t="s">
        <v>1580</v>
      </c>
      <c r="D37" s="83" t="s">
        <v>827</v>
      </c>
      <c r="E37" s="106">
        <v>1351.9</v>
      </c>
      <c r="F37" s="14"/>
    </row>
    <row r="38" spans="1:6" ht="15" outlineLevel="2">
      <c r="A38" s="70"/>
      <c r="B38" s="164" t="s">
        <v>52</v>
      </c>
      <c r="C38" s="83" t="s">
        <v>1583</v>
      </c>
      <c r="D38" s="83" t="s">
        <v>318</v>
      </c>
      <c r="E38" s="106">
        <v>914.88</v>
      </c>
      <c r="F38" s="14"/>
    </row>
    <row r="39" spans="1:6" ht="15" customHeight="1" outlineLevel="2">
      <c r="A39" s="70"/>
      <c r="B39" s="164" t="s">
        <v>2468</v>
      </c>
      <c r="C39" s="83" t="s">
        <v>1585</v>
      </c>
      <c r="D39" s="83" t="s">
        <v>2469</v>
      </c>
      <c r="E39" s="106">
        <v>1248</v>
      </c>
      <c r="F39" s="14"/>
    </row>
    <row r="40" spans="1:6" ht="32.25" customHeight="1" outlineLevel="2">
      <c r="A40" s="70"/>
      <c r="B40" s="164" t="s">
        <v>1522</v>
      </c>
      <c r="C40" s="83" t="s">
        <v>1586</v>
      </c>
      <c r="D40" s="83" t="s">
        <v>1523</v>
      </c>
      <c r="E40" s="106">
        <v>7308</v>
      </c>
      <c r="F40" s="14"/>
    </row>
    <row r="41" spans="1:5" ht="15.75" customHeight="1" outlineLevel="1">
      <c r="A41" s="255" t="s">
        <v>1594</v>
      </c>
      <c r="B41" s="256"/>
      <c r="C41" s="256"/>
      <c r="D41" s="257"/>
      <c r="E41" s="105">
        <f>SUM(E42:E44)</f>
        <v>41495.71</v>
      </c>
    </row>
    <row r="42" spans="1:6" ht="15" outlineLevel="2">
      <c r="A42" s="70"/>
      <c r="B42" s="164" t="s">
        <v>202</v>
      </c>
      <c r="C42" s="83" t="s">
        <v>1579</v>
      </c>
      <c r="D42" s="83" t="s">
        <v>1837</v>
      </c>
      <c r="E42" s="106">
        <v>16579.99</v>
      </c>
      <c r="F42" s="14"/>
    </row>
    <row r="43" spans="1:6" ht="15.75" customHeight="1" outlineLevel="2">
      <c r="A43" s="70"/>
      <c r="B43" s="164"/>
      <c r="C43" s="83" t="s">
        <v>1582</v>
      </c>
      <c r="D43" s="83" t="s">
        <v>1045</v>
      </c>
      <c r="E43" s="106">
        <v>9301.4</v>
      </c>
      <c r="F43" s="14"/>
    </row>
    <row r="44" spans="1:6" ht="15" outlineLevel="2">
      <c r="A44" s="70"/>
      <c r="B44" s="164" t="s">
        <v>799</v>
      </c>
      <c r="C44" s="83" t="s">
        <v>1587</v>
      </c>
      <c r="D44" s="83" t="s">
        <v>800</v>
      </c>
      <c r="E44" s="106">
        <v>15614.32</v>
      </c>
      <c r="F44" s="14"/>
    </row>
    <row r="45" spans="1:5" ht="12.75" customHeight="1" outlineLevel="1">
      <c r="A45" s="255" t="s">
        <v>1599</v>
      </c>
      <c r="B45" s="256"/>
      <c r="C45" s="256"/>
      <c r="D45" s="257"/>
      <c r="E45" s="105">
        <f>SUM(E46:E53)</f>
        <v>46268.24</v>
      </c>
    </row>
    <row r="46" spans="1:6" ht="15" outlineLevel="2">
      <c r="A46" s="70"/>
      <c r="B46" s="107" t="s">
        <v>2232</v>
      </c>
      <c r="C46" s="83" t="s">
        <v>1579</v>
      </c>
      <c r="D46" s="83" t="s">
        <v>1</v>
      </c>
      <c r="E46" s="106">
        <v>30853.28</v>
      </c>
      <c r="F46" s="14"/>
    </row>
    <row r="47" spans="1:6" ht="15" outlineLevel="2">
      <c r="A47" s="70"/>
      <c r="B47" s="107" t="s">
        <v>17</v>
      </c>
      <c r="C47" s="83" t="s">
        <v>1579</v>
      </c>
      <c r="D47" s="83" t="s">
        <v>2359</v>
      </c>
      <c r="E47" s="106">
        <v>980.72</v>
      </c>
      <c r="F47" s="14"/>
    </row>
    <row r="48" spans="1:6" ht="15" outlineLevel="2">
      <c r="A48" s="70"/>
      <c r="B48" s="107" t="s">
        <v>1399</v>
      </c>
      <c r="C48" s="83" t="s">
        <v>1580</v>
      </c>
      <c r="D48" s="83" t="s">
        <v>1400</v>
      </c>
      <c r="E48" s="106">
        <v>521.42</v>
      </c>
      <c r="F48" s="14"/>
    </row>
    <row r="49" spans="1:6" ht="15" outlineLevel="2">
      <c r="A49" s="70"/>
      <c r="B49" s="107" t="s">
        <v>2060</v>
      </c>
      <c r="C49" s="83" t="s">
        <v>1581</v>
      </c>
      <c r="D49" s="83" t="s">
        <v>2061</v>
      </c>
      <c r="E49" s="106">
        <v>8010</v>
      </c>
      <c r="F49" s="14"/>
    </row>
    <row r="50" spans="1:6" ht="15" outlineLevel="2">
      <c r="A50" s="70"/>
      <c r="B50" s="107" t="s">
        <v>454</v>
      </c>
      <c r="C50" s="83" t="s">
        <v>1581</v>
      </c>
      <c r="D50" s="83" t="s">
        <v>1405</v>
      </c>
      <c r="E50" s="106">
        <v>4258.76</v>
      </c>
      <c r="F50" s="14"/>
    </row>
    <row r="51" spans="1:6" ht="15" outlineLevel="2">
      <c r="A51" s="70"/>
      <c r="B51" s="107" t="s">
        <v>1645</v>
      </c>
      <c r="C51" s="83" t="s">
        <v>1585</v>
      </c>
      <c r="D51" s="83" t="s">
        <v>1646</v>
      </c>
      <c r="E51" s="106">
        <v>726</v>
      </c>
      <c r="F51" s="14"/>
    </row>
    <row r="52" spans="1:6" ht="15" outlineLevel="2">
      <c r="A52" s="70"/>
      <c r="B52" s="107" t="s">
        <v>396</v>
      </c>
      <c r="C52" s="83" t="s">
        <v>1586</v>
      </c>
      <c r="D52" s="83" t="s">
        <v>397</v>
      </c>
      <c r="E52" s="106">
        <v>660.06</v>
      </c>
      <c r="F52" s="14"/>
    </row>
    <row r="53" spans="1:6" ht="15" outlineLevel="2">
      <c r="A53" s="70"/>
      <c r="B53" s="107" t="s">
        <v>962</v>
      </c>
      <c r="C53" s="83" t="s">
        <v>1588</v>
      </c>
      <c r="D53" s="83" t="s">
        <v>963</v>
      </c>
      <c r="E53" s="106">
        <v>258</v>
      </c>
      <c r="F53" s="14"/>
    </row>
    <row r="54" spans="1:5" ht="12.75" customHeight="1" outlineLevel="1">
      <c r="A54" s="255" t="s">
        <v>1713</v>
      </c>
      <c r="B54" s="256"/>
      <c r="C54" s="256"/>
      <c r="D54" s="257"/>
      <c r="E54" s="105">
        <f>SUM(E55:E66)</f>
        <v>114300.70999999999</v>
      </c>
    </row>
    <row r="55" spans="1:6" ht="15" outlineLevel="2">
      <c r="A55" s="70"/>
      <c r="B55" s="163"/>
      <c r="C55" s="82" t="s">
        <v>1577</v>
      </c>
      <c r="D55" s="82" t="s">
        <v>1496</v>
      </c>
      <c r="E55" s="106">
        <v>9698.18</v>
      </c>
      <c r="F55" s="14"/>
    </row>
    <row r="56" spans="1:6" ht="15" outlineLevel="2">
      <c r="A56" s="70"/>
      <c r="B56" s="107"/>
      <c r="C56" s="83" t="s">
        <v>1578</v>
      </c>
      <c r="D56" s="83" t="s">
        <v>1496</v>
      </c>
      <c r="E56" s="106">
        <v>9698.18</v>
      </c>
      <c r="F56" s="14"/>
    </row>
    <row r="57" spans="1:6" ht="15" outlineLevel="2">
      <c r="A57" s="70"/>
      <c r="B57" s="107"/>
      <c r="C57" s="83" t="s">
        <v>1579</v>
      </c>
      <c r="D57" s="83" t="s">
        <v>1496</v>
      </c>
      <c r="E57" s="106">
        <v>9698.18</v>
      </c>
      <c r="F57" s="14"/>
    </row>
    <row r="58" spans="1:6" ht="15" outlineLevel="2">
      <c r="A58" s="70"/>
      <c r="B58" s="107"/>
      <c r="C58" s="83" t="s">
        <v>1580</v>
      </c>
      <c r="D58" s="83" t="s">
        <v>1496</v>
      </c>
      <c r="E58" s="106">
        <v>9698.18</v>
      </c>
      <c r="F58" s="14"/>
    </row>
    <row r="59" spans="1:6" ht="15" outlineLevel="2">
      <c r="A59" s="70"/>
      <c r="B59" s="107"/>
      <c r="C59" s="83" t="s">
        <v>1581</v>
      </c>
      <c r="D59" s="83" t="s">
        <v>1496</v>
      </c>
      <c r="E59" s="106">
        <v>9282.69</v>
      </c>
      <c r="F59" s="14"/>
    </row>
    <row r="60" spans="1:6" ht="15" outlineLevel="2">
      <c r="A60" s="70"/>
      <c r="B60" s="107"/>
      <c r="C60" s="83" t="s">
        <v>1582</v>
      </c>
      <c r="D60" s="83" t="s">
        <v>1496</v>
      </c>
      <c r="E60" s="106">
        <v>9282.69</v>
      </c>
      <c r="F60" s="14"/>
    </row>
    <row r="61" spans="1:6" ht="15" outlineLevel="2">
      <c r="A61" s="70"/>
      <c r="B61" s="107"/>
      <c r="C61" s="83" t="s">
        <v>1583</v>
      </c>
      <c r="D61" s="83" t="s">
        <v>1496</v>
      </c>
      <c r="E61" s="106">
        <v>9282.69</v>
      </c>
      <c r="F61" s="14"/>
    </row>
    <row r="62" spans="1:6" ht="15" outlineLevel="2">
      <c r="A62" s="70"/>
      <c r="B62" s="107"/>
      <c r="C62" s="83" t="s">
        <v>1584</v>
      </c>
      <c r="D62" s="83" t="s">
        <v>1496</v>
      </c>
      <c r="E62" s="106">
        <v>9282.69</v>
      </c>
      <c r="F62" s="14"/>
    </row>
    <row r="63" spans="1:6" ht="15" outlineLevel="2">
      <c r="A63" s="70"/>
      <c r="B63" s="107"/>
      <c r="C63" s="83" t="s">
        <v>1585</v>
      </c>
      <c r="D63" s="83" t="s">
        <v>1496</v>
      </c>
      <c r="E63" s="106">
        <v>9282.69</v>
      </c>
      <c r="F63" s="14"/>
    </row>
    <row r="64" spans="1:6" ht="15" outlineLevel="2">
      <c r="A64" s="70"/>
      <c r="B64" s="107"/>
      <c r="C64" s="83" t="s">
        <v>1586</v>
      </c>
      <c r="D64" s="83" t="s">
        <v>1496</v>
      </c>
      <c r="E64" s="106">
        <v>9698.18</v>
      </c>
      <c r="F64" s="14"/>
    </row>
    <row r="65" spans="1:6" ht="15" outlineLevel="2">
      <c r="A65" s="70"/>
      <c r="B65" s="107"/>
      <c r="C65" s="83" t="s">
        <v>1587</v>
      </c>
      <c r="D65" s="83" t="s">
        <v>1496</v>
      </c>
      <c r="E65" s="106">
        <v>9698.18</v>
      </c>
      <c r="F65" s="14"/>
    </row>
    <row r="66" spans="1:6" ht="15" outlineLevel="2">
      <c r="A66" s="70"/>
      <c r="B66" s="166"/>
      <c r="C66" s="83" t="s">
        <v>1588</v>
      </c>
      <c r="D66" s="83" t="s">
        <v>1496</v>
      </c>
      <c r="E66" s="106">
        <v>9698.18</v>
      </c>
      <c r="F66" s="14"/>
    </row>
    <row r="67" spans="1:5" ht="12.75" customHeight="1" outlineLevel="1">
      <c r="A67" s="356" t="s">
        <v>1714</v>
      </c>
      <c r="B67" s="357"/>
      <c r="C67" s="357"/>
      <c r="D67" s="358"/>
      <c r="E67" s="105">
        <f>1.46*2739.6*12</f>
        <v>47997.792</v>
      </c>
    </row>
    <row r="68" spans="1:5" ht="15" customHeight="1" outlineLevel="1">
      <c r="A68" s="255" t="s">
        <v>1715</v>
      </c>
      <c r="B68" s="256"/>
      <c r="C68" s="256"/>
      <c r="D68" s="257"/>
      <c r="E68" s="105">
        <f>E69+E70+E71+E72+E73+E74+E75+E76</f>
        <v>12584.859999999999</v>
      </c>
    </row>
    <row r="69" spans="1:6" ht="15" outlineLevel="2">
      <c r="A69" s="70"/>
      <c r="B69" s="163" t="s">
        <v>66</v>
      </c>
      <c r="C69" s="82" t="s">
        <v>1577</v>
      </c>
      <c r="D69" s="82" t="s">
        <v>2179</v>
      </c>
      <c r="E69" s="106">
        <v>2164</v>
      </c>
      <c r="F69" s="14"/>
    </row>
    <row r="70" spans="1:6" ht="15" outlineLevel="2">
      <c r="A70" s="70"/>
      <c r="B70" s="107" t="s">
        <v>102</v>
      </c>
      <c r="C70" s="83" t="s">
        <v>1582</v>
      </c>
      <c r="D70" s="83" t="s">
        <v>110</v>
      </c>
      <c r="E70" s="106">
        <v>5780.05</v>
      </c>
      <c r="F70" s="14"/>
    </row>
    <row r="71" spans="1:6" ht="15" outlineLevel="2">
      <c r="A71" s="70"/>
      <c r="B71" s="107" t="s">
        <v>1165</v>
      </c>
      <c r="C71" s="83" t="s">
        <v>1583</v>
      </c>
      <c r="D71" s="83" t="s">
        <v>110</v>
      </c>
      <c r="E71" s="106">
        <v>394</v>
      </c>
      <c r="F71" s="14"/>
    </row>
    <row r="72" spans="1:6" ht="15" outlineLevel="2">
      <c r="A72" s="70"/>
      <c r="B72" s="107" t="s">
        <v>2489</v>
      </c>
      <c r="C72" s="83" t="s">
        <v>1585</v>
      </c>
      <c r="D72" s="83" t="s">
        <v>110</v>
      </c>
      <c r="E72" s="106">
        <v>425.78</v>
      </c>
      <c r="F72" s="14"/>
    </row>
    <row r="73" spans="1:6" ht="15" outlineLevel="2">
      <c r="A73" s="70"/>
      <c r="B73" s="107" t="s">
        <v>550</v>
      </c>
      <c r="C73" s="83" t="s">
        <v>1586</v>
      </c>
      <c r="D73" s="83" t="s">
        <v>1005</v>
      </c>
      <c r="E73" s="106">
        <v>1575.22</v>
      </c>
      <c r="F73" s="14"/>
    </row>
    <row r="74" spans="1:6" ht="15" outlineLevel="2">
      <c r="A74" s="70"/>
      <c r="B74" s="107" t="s">
        <v>206</v>
      </c>
      <c r="C74" s="83" t="s">
        <v>1587</v>
      </c>
      <c r="D74" s="83" t="s">
        <v>207</v>
      </c>
      <c r="E74" s="106">
        <v>278.3</v>
      </c>
      <c r="F74" s="14"/>
    </row>
    <row r="75" spans="1:6" ht="15" outlineLevel="2">
      <c r="A75" s="70"/>
      <c r="B75" s="107" t="s">
        <v>1958</v>
      </c>
      <c r="C75" s="83" t="s">
        <v>1588</v>
      </c>
      <c r="D75" s="83" t="s">
        <v>1960</v>
      </c>
      <c r="E75" s="106">
        <v>368.11</v>
      </c>
      <c r="F75" s="14"/>
    </row>
    <row r="76" spans="1:6" ht="15" outlineLevel="2">
      <c r="A76" s="70"/>
      <c r="B76" s="167" t="s">
        <v>1899</v>
      </c>
      <c r="C76" s="83" t="s">
        <v>1588</v>
      </c>
      <c r="D76" s="83" t="s">
        <v>1005</v>
      </c>
      <c r="E76" s="106">
        <v>1599.4</v>
      </c>
      <c r="F76" s="14"/>
    </row>
    <row r="77" spans="1:5" ht="14.25" customHeight="1" outlineLevel="1">
      <c r="A77" s="255" t="s">
        <v>1595</v>
      </c>
      <c r="B77" s="256"/>
      <c r="C77" s="256"/>
      <c r="D77" s="257"/>
      <c r="E77" s="105">
        <f>SUM(E78:E89)</f>
        <v>14040.46</v>
      </c>
    </row>
    <row r="78" spans="1:6" ht="18" customHeight="1" outlineLevel="2">
      <c r="A78" s="70"/>
      <c r="B78" s="163" t="s">
        <v>68</v>
      </c>
      <c r="C78" s="82" t="s">
        <v>1577</v>
      </c>
      <c r="D78" s="82" t="s">
        <v>2190</v>
      </c>
      <c r="E78" s="106">
        <v>809.6</v>
      </c>
      <c r="F78" s="14"/>
    </row>
    <row r="79" spans="1:6" ht="30" outlineLevel="2">
      <c r="A79" s="70"/>
      <c r="B79" s="107" t="s">
        <v>64</v>
      </c>
      <c r="C79" s="83" t="s">
        <v>1577</v>
      </c>
      <c r="D79" s="83" t="s">
        <v>371</v>
      </c>
      <c r="E79" s="106">
        <v>1383</v>
      </c>
      <c r="F79" s="14"/>
    </row>
    <row r="80" spans="1:6" ht="16.5" customHeight="1" outlineLevel="2">
      <c r="A80" s="70"/>
      <c r="B80" s="107" t="s">
        <v>133</v>
      </c>
      <c r="C80" s="83" t="s">
        <v>1579</v>
      </c>
      <c r="D80" s="83" t="s">
        <v>1987</v>
      </c>
      <c r="E80" s="106">
        <v>1090.41</v>
      </c>
      <c r="F80" s="14"/>
    </row>
    <row r="81" spans="1:6" ht="15" outlineLevel="2">
      <c r="A81" s="70"/>
      <c r="B81" s="107" t="s">
        <v>1992</v>
      </c>
      <c r="C81" s="83" t="s">
        <v>1579</v>
      </c>
      <c r="D81" s="83" t="s">
        <v>1612</v>
      </c>
      <c r="E81" s="106">
        <v>264.11</v>
      </c>
      <c r="F81" s="14"/>
    </row>
    <row r="82" spans="1:6" ht="15" outlineLevel="2">
      <c r="A82" s="70"/>
      <c r="B82" s="107" t="s">
        <v>1026</v>
      </c>
      <c r="C82" s="83" t="s">
        <v>1580</v>
      </c>
      <c r="D82" s="83" t="s">
        <v>1032</v>
      </c>
      <c r="E82" s="106">
        <v>332</v>
      </c>
      <c r="F82" s="14"/>
    </row>
    <row r="83" spans="1:6" ht="15" outlineLevel="2">
      <c r="A83" s="70"/>
      <c r="B83" s="107" t="s">
        <v>1244</v>
      </c>
      <c r="C83" s="83" t="s">
        <v>1580</v>
      </c>
      <c r="D83" s="83" t="s">
        <v>677</v>
      </c>
      <c r="E83" s="106">
        <v>157.79</v>
      </c>
      <c r="F83" s="14"/>
    </row>
    <row r="84" spans="1:6" ht="15" outlineLevel="2">
      <c r="A84" s="70"/>
      <c r="B84" s="107" t="s">
        <v>1255</v>
      </c>
      <c r="C84" s="83" t="s">
        <v>1582</v>
      </c>
      <c r="D84" s="83" t="s">
        <v>822</v>
      </c>
      <c r="E84" s="106">
        <v>822.19</v>
      </c>
      <c r="F84" s="14"/>
    </row>
    <row r="85" spans="1:6" ht="15" outlineLevel="2">
      <c r="A85" s="70"/>
      <c r="B85" s="107" t="s">
        <v>43</v>
      </c>
      <c r="C85" s="83" t="s">
        <v>1583</v>
      </c>
      <c r="D85" s="83" t="s">
        <v>174</v>
      </c>
      <c r="E85" s="106">
        <v>545.67</v>
      </c>
      <c r="F85" s="14"/>
    </row>
    <row r="86" spans="1:6" ht="15" outlineLevel="2">
      <c r="A86" s="70"/>
      <c r="B86" s="107" t="s">
        <v>629</v>
      </c>
      <c r="C86" s="83" t="s">
        <v>1584</v>
      </c>
      <c r="D86" s="83" t="s">
        <v>631</v>
      </c>
      <c r="E86" s="106">
        <v>1117.37</v>
      </c>
      <c r="F86" s="14"/>
    </row>
    <row r="87" spans="1:6" ht="15" outlineLevel="2">
      <c r="A87" s="70"/>
      <c r="B87" s="107" t="s">
        <v>2387</v>
      </c>
      <c r="C87" s="83" t="s">
        <v>1586</v>
      </c>
      <c r="D87" s="83" t="s">
        <v>2388</v>
      </c>
      <c r="E87" s="106">
        <v>2146</v>
      </c>
      <c r="F87" s="14"/>
    </row>
    <row r="88" spans="1:6" ht="15" outlineLevel="2">
      <c r="A88" s="70"/>
      <c r="B88" s="107" t="s">
        <v>1181</v>
      </c>
      <c r="C88" s="83" t="s">
        <v>1587</v>
      </c>
      <c r="D88" s="83" t="s">
        <v>1185</v>
      </c>
      <c r="E88" s="106">
        <v>575.52</v>
      </c>
      <c r="F88" s="14"/>
    </row>
    <row r="89" spans="1:6" ht="24" customHeight="1" outlineLevel="2">
      <c r="A89" s="70"/>
      <c r="B89" s="107" t="s">
        <v>919</v>
      </c>
      <c r="C89" s="83" t="s">
        <v>1588</v>
      </c>
      <c r="D89" s="83" t="s">
        <v>920</v>
      </c>
      <c r="E89" s="106">
        <v>4796.8</v>
      </c>
      <c r="F89" s="14"/>
    </row>
    <row r="90" spans="1:5" ht="15" customHeight="1" outlineLevel="1">
      <c r="A90" s="255" t="s">
        <v>1718</v>
      </c>
      <c r="B90" s="256"/>
      <c r="C90" s="256"/>
      <c r="D90" s="257"/>
      <c r="E90" s="105">
        <f>SUM(E91:E94)</f>
        <v>4093.44</v>
      </c>
    </row>
    <row r="91" spans="1:6" ht="15" outlineLevel="2">
      <c r="A91" s="70"/>
      <c r="B91" s="163" t="s">
        <v>2</v>
      </c>
      <c r="C91" s="82" t="s">
        <v>1577</v>
      </c>
      <c r="D91" s="82" t="s">
        <v>2268</v>
      </c>
      <c r="E91" s="106">
        <v>1410.67</v>
      </c>
      <c r="F91" s="14"/>
    </row>
    <row r="92" spans="1:6" ht="15" outlineLevel="2">
      <c r="A92" s="70"/>
      <c r="B92" s="107" t="s">
        <v>2</v>
      </c>
      <c r="C92" s="83" t="s">
        <v>57</v>
      </c>
      <c r="D92" s="83" t="s">
        <v>723</v>
      </c>
      <c r="E92" s="106">
        <v>60.37</v>
      </c>
      <c r="F92" s="14"/>
    </row>
    <row r="93" spans="1:6" ht="15" outlineLevel="2">
      <c r="A93" s="70"/>
      <c r="B93" s="107" t="s">
        <v>2</v>
      </c>
      <c r="C93" s="83" t="s">
        <v>1581</v>
      </c>
      <c r="D93" s="83" t="s">
        <v>2390</v>
      </c>
      <c r="E93" s="106">
        <v>1343.4</v>
      </c>
      <c r="F93" s="14"/>
    </row>
    <row r="94" spans="1:6" ht="18" customHeight="1" outlineLevel="2">
      <c r="A94" s="70"/>
      <c r="B94" s="168" t="s">
        <v>1945</v>
      </c>
      <c r="C94" s="84" t="s">
        <v>1588</v>
      </c>
      <c r="D94" s="138" t="s">
        <v>1946</v>
      </c>
      <c r="E94" s="106">
        <v>1279</v>
      </c>
      <c r="F94" s="14"/>
    </row>
    <row r="95" spans="1:6" ht="14.25" customHeight="1" outlineLevel="2">
      <c r="A95" s="255" t="s">
        <v>0</v>
      </c>
      <c r="B95" s="256"/>
      <c r="C95" s="256"/>
      <c r="D95" s="257"/>
      <c r="E95" s="105">
        <f>0.1*2739.6*12</f>
        <v>3287.5199999999995</v>
      </c>
      <c r="F95" s="14"/>
    </row>
    <row r="96" spans="1:6" ht="15" customHeight="1" outlineLevel="2">
      <c r="A96" s="255" t="s">
        <v>1369</v>
      </c>
      <c r="B96" s="256"/>
      <c r="C96" s="256"/>
      <c r="D96" s="257"/>
      <c r="E96" s="105">
        <v>3166.66</v>
      </c>
      <c r="F96" s="14"/>
    </row>
    <row r="97" spans="1:6" ht="15">
      <c r="A97" s="70"/>
      <c r="B97" s="270" t="s">
        <v>255</v>
      </c>
      <c r="C97" s="270"/>
      <c r="D97" s="270"/>
      <c r="E97" s="43">
        <f>0.94*2739*12</f>
        <v>30895.92</v>
      </c>
      <c r="F97" s="26"/>
    </row>
    <row r="98" spans="1:6" ht="15">
      <c r="A98" s="70"/>
      <c r="B98" s="270" t="s">
        <v>59</v>
      </c>
      <c r="C98" s="270"/>
      <c r="D98" s="270"/>
      <c r="E98" s="43">
        <f>1.57*2739.6*12</f>
        <v>51614.064000000006</v>
      </c>
      <c r="F98" s="14"/>
    </row>
    <row r="99" spans="1:6" ht="15">
      <c r="A99" s="70"/>
      <c r="B99" s="270" t="s">
        <v>256</v>
      </c>
      <c r="C99" s="270"/>
      <c r="D99" s="270"/>
      <c r="E99" s="43">
        <f>10.3*(E101+E102)/100</f>
        <v>71315.12043</v>
      </c>
      <c r="F99" s="14"/>
    </row>
    <row r="100" spans="1:5" ht="15">
      <c r="A100" s="85">
        <v>1</v>
      </c>
      <c r="B100" s="272" t="s">
        <v>659</v>
      </c>
      <c r="C100" s="272"/>
      <c r="D100" s="272"/>
      <c r="E100" s="44">
        <f>E99+E98+E97+E6+E3</f>
        <v>502642.83643</v>
      </c>
    </row>
    <row r="101" spans="1:6" ht="15">
      <c r="A101" s="85">
        <v>2</v>
      </c>
      <c r="B101" s="270" t="s">
        <v>258</v>
      </c>
      <c r="C101" s="270"/>
      <c r="D101" s="270"/>
      <c r="E101" s="43">
        <v>608455.33</v>
      </c>
      <c r="F101" s="14"/>
    </row>
    <row r="102" spans="1:5" ht="15">
      <c r="A102" s="85">
        <v>3</v>
      </c>
      <c r="B102" s="270" t="s">
        <v>259</v>
      </c>
      <c r="C102" s="270"/>
      <c r="D102" s="270"/>
      <c r="E102" s="43">
        <v>83924.48</v>
      </c>
    </row>
    <row r="103" spans="1:5" ht="15">
      <c r="A103" s="85">
        <v>4</v>
      </c>
      <c r="B103" s="270" t="s">
        <v>660</v>
      </c>
      <c r="C103" s="270"/>
      <c r="D103" s="270"/>
      <c r="E103" s="43">
        <v>1910950.55</v>
      </c>
    </row>
    <row r="104" spans="1:5" ht="15">
      <c r="A104" s="85">
        <v>5</v>
      </c>
      <c r="B104" s="270" t="s">
        <v>2340</v>
      </c>
      <c r="C104" s="270"/>
      <c r="D104" s="270"/>
      <c r="E104" s="43">
        <v>849729.34</v>
      </c>
    </row>
    <row r="105" spans="1:5" ht="15">
      <c r="A105" s="85">
        <v>6</v>
      </c>
      <c r="B105" s="272" t="s">
        <v>2341</v>
      </c>
      <c r="C105" s="272"/>
      <c r="D105" s="272"/>
      <c r="E105" s="44">
        <f>'[5]Мира 15'!$E$138+E100</f>
        <v>1661633.82643</v>
      </c>
    </row>
    <row r="106" spans="1:5" ht="15">
      <c r="A106" s="85">
        <v>7</v>
      </c>
      <c r="B106" s="270" t="s">
        <v>732</v>
      </c>
      <c r="C106" s="270"/>
      <c r="D106" s="270"/>
      <c r="E106" s="43">
        <v>263475.6</v>
      </c>
    </row>
    <row r="107" spans="1:5" ht="15">
      <c r="A107" s="85">
        <v>8</v>
      </c>
      <c r="B107" s="270" t="s">
        <v>733</v>
      </c>
      <c r="C107" s="270"/>
      <c r="D107" s="270"/>
      <c r="E107" s="43">
        <v>117157.1</v>
      </c>
    </row>
    <row r="108" spans="1:5" ht="15">
      <c r="A108" s="85">
        <v>9</v>
      </c>
      <c r="B108" s="272" t="s">
        <v>734</v>
      </c>
      <c r="C108" s="272"/>
      <c r="D108" s="272"/>
      <c r="E108" s="44">
        <f>'[5]Мира 15'!$E$141+E111</f>
        <v>0</v>
      </c>
    </row>
    <row r="109" spans="1:5" ht="15">
      <c r="A109" s="85">
        <v>10</v>
      </c>
      <c r="B109" s="270" t="s">
        <v>260</v>
      </c>
      <c r="C109" s="270"/>
      <c r="D109" s="270"/>
      <c r="E109" s="43">
        <v>260310.55</v>
      </c>
    </row>
    <row r="110" spans="1:5" ht="15">
      <c r="A110" s="85">
        <v>11</v>
      </c>
      <c r="B110" s="270" t="s">
        <v>735</v>
      </c>
      <c r="C110" s="270"/>
      <c r="D110" s="270"/>
      <c r="E110" s="43">
        <v>35904.73</v>
      </c>
    </row>
    <row r="111" spans="1:5" ht="15">
      <c r="A111" s="85">
        <v>12</v>
      </c>
      <c r="B111" s="272" t="s">
        <v>736</v>
      </c>
      <c r="C111" s="272"/>
      <c r="D111" s="272"/>
      <c r="E111" s="44">
        <v>0</v>
      </c>
    </row>
    <row r="112" spans="1:5" ht="18" customHeight="1">
      <c r="A112" s="85">
        <v>13</v>
      </c>
      <c r="B112" s="271" t="s">
        <v>737</v>
      </c>
      <c r="C112" s="271"/>
      <c r="D112" s="271"/>
      <c r="E112" s="45">
        <f>E103-E105</f>
        <v>249316.72357000015</v>
      </c>
    </row>
    <row r="113" spans="1:5" ht="14.25" customHeight="1">
      <c r="A113" s="85">
        <v>14</v>
      </c>
      <c r="B113" s="271" t="s">
        <v>738</v>
      </c>
      <c r="C113" s="271"/>
      <c r="D113" s="271"/>
      <c r="E113" s="45">
        <f>E106-E108</f>
        <v>263475.6</v>
      </c>
    </row>
    <row r="114" spans="1:5" ht="28.5" customHeight="1">
      <c r="A114" s="85">
        <v>15</v>
      </c>
      <c r="B114" s="271" t="s">
        <v>2273</v>
      </c>
      <c r="C114" s="271"/>
      <c r="D114" s="271"/>
      <c r="E114" s="45">
        <f>E104-E105</f>
        <v>-811904.4864299999</v>
      </c>
    </row>
    <row r="115" ht="12.75">
      <c r="E115" s="39"/>
    </row>
    <row r="116" spans="1:5" ht="51">
      <c r="A116" s="68" t="s">
        <v>492</v>
      </c>
      <c r="E116" s="39"/>
    </row>
    <row r="117" spans="1:5" ht="51">
      <c r="A117" s="68" t="s">
        <v>493</v>
      </c>
      <c r="E117" s="39"/>
    </row>
    <row r="118" spans="1:5" ht="102">
      <c r="A118" s="68" t="s">
        <v>494</v>
      </c>
      <c r="E118" s="39"/>
    </row>
    <row r="119" spans="1:5" ht="51">
      <c r="A119" s="68" t="s">
        <v>495</v>
      </c>
      <c r="E119" s="39"/>
    </row>
  </sheetData>
  <sheetProtection/>
  <mergeCells count="35">
    <mergeCell ref="A45:D45"/>
    <mergeCell ref="B100:D100"/>
    <mergeCell ref="B99:D99"/>
    <mergeCell ref="A31:D31"/>
    <mergeCell ref="B97:D97"/>
    <mergeCell ref="B98:D98"/>
    <mergeCell ref="A68:D68"/>
    <mergeCell ref="A77:D77"/>
    <mergeCell ref="A90:D90"/>
    <mergeCell ref="A95:D95"/>
    <mergeCell ref="B114:D114"/>
    <mergeCell ref="B106:D106"/>
    <mergeCell ref="B107:D107"/>
    <mergeCell ref="B108:D108"/>
    <mergeCell ref="B109:D109"/>
    <mergeCell ref="B112:D112"/>
    <mergeCell ref="B113:D113"/>
    <mergeCell ref="B110:D110"/>
    <mergeCell ref="B111:D111"/>
    <mergeCell ref="B103:D103"/>
    <mergeCell ref="B101:D101"/>
    <mergeCell ref="B105:D105"/>
    <mergeCell ref="A23:D23"/>
    <mergeCell ref="A41:D41"/>
    <mergeCell ref="B104:D104"/>
    <mergeCell ref="A54:D54"/>
    <mergeCell ref="A67:D67"/>
    <mergeCell ref="A96:D96"/>
    <mergeCell ref="B102:D102"/>
    <mergeCell ref="B1:E1"/>
    <mergeCell ref="A4:D4"/>
    <mergeCell ref="A7:D7"/>
    <mergeCell ref="A14:D14"/>
    <mergeCell ref="B3:C3"/>
    <mergeCell ref="B6:C6"/>
  </mergeCells>
  <printOptions/>
  <pageMargins left="0.2362204724409449" right="0.275590551181102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7"/>
  <sheetViews>
    <sheetView zoomScalePageLayoutView="0" workbookViewId="0" topLeftCell="A51">
      <selection activeCell="E63" sqref="E63"/>
    </sheetView>
  </sheetViews>
  <sheetFormatPr defaultColWidth="13.421875" defaultRowHeight="12.75" outlineLevelRow="2"/>
  <cols>
    <col min="1" max="1" width="4.57421875" style="1" customWidth="1"/>
    <col min="2" max="2" width="19.7109375" style="1" customWidth="1"/>
    <col min="3" max="3" width="10.140625" style="1" customWidth="1"/>
    <col min="4" max="4" width="50.28125" style="1" customWidth="1"/>
    <col min="5" max="5" width="13.57421875" style="1" customWidth="1"/>
    <col min="6" max="7" width="11.421875" style="1" customWidth="1"/>
    <col min="8" max="8" width="13.8515625" style="1" customWidth="1"/>
    <col min="9" max="98" width="12.421875" style="1" customWidth="1"/>
    <col min="99" max="16384" width="13.421875" style="1" customWidth="1"/>
  </cols>
  <sheetData>
    <row r="1" spans="1:5" ht="15">
      <c r="A1" s="42"/>
      <c r="B1" s="336" t="s">
        <v>2218</v>
      </c>
      <c r="C1" s="337"/>
      <c r="D1" s="337"/>
      <c r="E1" s="338"/>
    </row>
    <row r="2" spans="1:5" ht="15.75" thickBot="1">
      <c r="A2" s="42"/>
      <c r="B2" s="205"/>
      <c r="C2" s="206"/>
      <c r="D2" s="206"/>
      <c r="E2" s="206"/>
    </row>
    <row r="3" spans="1:6" ht="30">
      <c r="A3" s="42"/>
      <c r="B3" s="133" t="s">
        <v>1570</v>
      </c>
      <c r="C3" s="134" t="s">
        <v>1571</v>
      </c>
      <c r="D3" s="113" t="s">
        <v>1572</v>
      </c>
      <c r="E3" s="135" t="s">
        <v>1573</v>
      </c>
      <c r="F3" s="6"/>
    </row>
    <row r="4" spans="1:5" ht="15">
      <c r="A4" s="91"/>
      <c r="B4" s="308"/>
      <c r="C4" s="308"/>
      <c r="D4" s="155" t="s">
        <v>1575</v>
      </c>
      <c r="E4" s="130">
        <f>E5+E7+E9</f>
        <v>341851.83999999997</v>
      </c>
    </row>
    <row r="5" spans="1:5" ht="13.5" customHeight="1" outlineLevel="1">
      <c r="A5" s="255" t="s">
        <v>1589</v>
      </c>
      <c r="B5" s="256"/>
      <c r="C5" s="256"/>
      <c r="D5" s="257"/>
      <c r="E5" s="105">
        <f>SUM(E6:E6)</f>
        <v>32983.7</v>
      </c>
    </row>
    <row r="6" spans="1:6" ht="15" outlineLevel="2">
      <c r="A6" s="81"/>
      <c r="B6" s="85" t="s">
        <v>2070</v>
      </c>
      <c r="C6" s="85" t="s">
        <v>1577</v>
      </c>
      <c r="D6" s="85" t="s">
        <v>2071</v>
      </c>
      <c r="E6" s="106">
        <v>32983.7</v>
      </c>
      <c r="F6" s="14"/>
    </row>
    <row r="7" spans="1:5" ht="13.5" customHeight="1" outlineLevel="1">
      <c r="A7" s="255" t="s">
        <v>1590</v>
      </c>
      <c r="B7" s="256"/>
      <c r="C7" s="256"/>
      <c r="D7" s="257"/>
      <c r="E7" s="105">
        <f>SUM(E8:E8)</f>
        <v>8451.14</v>
      </c>
    </row>
    <row r="8" spans="1:6" ht="15" outlineLevel="2">
      <c r="A8" s="81"/>
      <c r="B8" s="84" t="s">
        <v>1417</v>
      </c>
      <c r="C8" s="84" t="s">
        <v>1580</v>
      </c>
      <c r="D8" s="84" t="s">
        <v>1418</v>
      </c>
      <c r="E8" s="106">
        <v>8451.14</v>
      </c>
      <c r="F8" s="14"/>
    </row>
    <row r="9" spans="1:5" ht="13.5" customHeight="1" outlineLevel="1">
      <c r="A9" s="255" t="s">
        <v>1594</v>
      </c>
      <c r="B9" s="256"/>
      <c r="C9" s="256"/>
      <c r="D9" s="257"/>
      <c r="E9" s="105">
        <f>SUM(E10:E10)</f>
        <v>300417</v>
      </c>
    </row>
    <row r="10" spans="1:6" ht="27" customHeight="1" outlineLevel="2">
      <c r="A10" s="81"/>
      <c r="B10" s="84" t="s">
        <v>1912</v>
      </c>
      <c r="C10" s="84" t="s">
        <v>1579</v>
      </c>
      <c r="D10" s="84" t="s">
        <v>1913</v>
      </c>
      <c r="E10" s="106">
        <v>300417</v>
      </c>
      <c r="F10" s="14"/>
    </row>
    <row r="11" spans="1:5" ht="13.5" customHeight="1">
      <c r="A11" s="91"/>
      <c r="B11" s="308"/>
      <c r="C11" s="308"/>
      <c r="D11" s="155" t="s">
        <v>1600</v>
      </c>
      <c r="E11" s="130">
        <f>E12+E15+E21+E24+E26+E29+E42+E43+E47+E54+E58+E59</f>
        <v>58068.84999999999</v>
      </c>
    </row>
    <row r="12" spans="1:5" ht="14.25" customHeight="1" outlineLevel="1">
      <c r="A12" s="255" t="s">
        <v>1576</v>
      </c>
      <c r="B12" s="256"/>
      <c r="C12" s="256"/>
      <c r="D12" s="257"/>
      <c r="E12" s="105">
        <f>SUM(E13:E14)</f>
        <v>1097.51</v>
      </c>
    </row>
    <row r="13" spans="1:6" ht="30" outlineLevel="2">
      <c r="A13" s="42"/>
      <c r="B13" s="83" t="s">
        <v>1213</v>
      </c>
      <c r="C13" s="83" t="s">
        <v>1582</v>
      </c>
      <c r="D13" s="83" t="s">
        <v>509</v>
      </c>
      <c r="E13" s="106">
        <v>20.58</v>
      </c>
      <c r="F13" s="14"/>
    </row>
    <row r="14" spans="1:6" ht="12.75" customHeight="1" outlineLevel="2">
      <c r="A14" s="42"/>
      <c r="B14" s="83" t="s">
        <v>1033</v>
      </c>
      <c r="C14" s="83" t="s">
        <v>1583</v>
      </c>
      <c r="D14" s="83" t="s">
        <v>509</v>
      </c>
      <c r="E14" s="106">
        <v>1076.93</v>
      </c>
      <c r="F14" s="14"/>
    </row>
    <row r="15" spans="1:5" ht="13.5" customHeight="1" outlineLevel="1">
      <c r="A15" s="255" t="s">
        <v>1589</v>
      </c>
      <c r="B15" s="256"/>
      <c r="C15" s="256"/>
      <c r="D15" s="257"/>
      <c r="E15" s="105">
        <f>SUM(E16:E20)</f>
        <v>7805.21</v>
      </c>
    </row>
    <row r="16" spans="1:6" ht="12.75" customHeight="1" outlineLevel="2">
      <c r="A16" s="42"/>
      <c r="B16" s="83" t="s">
        <v>876</v>
      </c>
      <c r="C16" s="83" t="s">
        <v>1578</v>
      </c>
      <c r="D16" s="83" t="s">
        <v>637</v>
      </c>
      <c r="E16" s="106">
        <v>2742.1</v>
      </c>
      <c r="F16" s="14"/>
    </row>
    <row r="17" spans="1:6" ht="12.75" customHeight="1" outlineLevel="2">
      <c r="A17" s="42"/>
      <c r="B17" s="83" t="s">
        <v>878</v>
      </c>
      <c r="C17" s="83" t="s">
        <v>1579</v>
      </c>
      <c r="D17" s="83" t="s">
        <v>2311</v>
      </c>
      <c r="E17" s="106">
        <v>1240.2</v>
      </c>
      <c r="F17" s="14"/>
    </row>
    <row r="18" spans="1:6" ht="12.75" customHeight="1" outlineLevel="2">
      <c r="A18" s="42"/>
      <c r="B18" s="83" t="s">
        <v>433</v>
      </c>
      <c r="C18" s="83" t="s">
        <v>1581</v>
      </c>
      <c r="D18" s="83" t="s">
        <v>2105</v>
      </c>
      <c r="E18" s="106">
        <v>22.42</v>
      </c>
      <c r="F18" s="14"/>
    </row>
    <row r="19" spans="1:6" ht="12.75" customHeight="1" outlineLevel="2">
      <c r="A19" s="42"/>
      <c r="B19" s="83" t="s">
        <v>1256</v>
      </c>
      <c r="C19" s="83" t="s">
        <v>1583</v>
      </c>
      <c r="D19" s="83" t="s">
        <v>1855</v>
      </c>
      <c r="E19" s="106">
        <v>3756.49</v>
      </c>
      <c r="F19" s="14"/>
    </row>
    <row r="20" spans="1:6" ht="12.75" customHeight="1" outlineLevel="2">
      <c r="A20" s="42"/>
      <c r="B20" s="83" t="s">
        <v>1072</v>
      </c>
      <c r="C20" s="83" t="s">
        <v>1588</v>
      </c>
      <c r="D20" s="83" t="s">
        <v>1073</v>
      </c>
      <c r="E20" s="106">
        <v>44</v>
      </c>
      <c r="F20" s="14"/>
    </row>
    <row r="21" spans="1:5" ht="15.75" customHeight="1" outlineLevel="1">
      <c r="A21" s="255" t="s">
        <v>1590</v>
      </c>
      <c r="B21" s="256"/>
      <c r="C21" s="256"/>
      <c r="D21" s="257"/>
      <c r="E21" s="105">
        <f>SUM(E22:E23)</f>
        <v>7098.36</v>
      </c>
    </row>
    <row r="22" spans="1:6" ht="29.25" customHeight="1" outlineLevel="2">
      <c r="A22" s="42"/>
      <c r="B22" s="87" t="s">
        <v>1212</v>
      </c>
      <c r="C22" s="83" t="s">
        <v>1584</v>
      </c>
      <c r="D22" s="83" t="s">
        <v>760</v>
      </c>
      <c r="E22" s="106">
        <v>5627.7</v>
      </c>
      <c r="F22" s="14"/>
    </row>
    <row r="23" spans="1:6" ht="15" outlineLevel="2">
      <c r="A23" s="42"/>
      <c r="B23" s="87" t="s">
        <v>192</v>
      </c>
      <c r="C23" s="83" t="s">
        <v>1586</v>
      </c>
      <c r="D23" s="83" t="s">
        <v>783</v>
      </c>
      <c r="E23" s="106">
        <v>1470.66</v>
      </c>
      <c r="F23" s="14"/>
    </row>
    <row r="24" spans="1:5" ht="12.75" customHeight="1" outlineLevel="1">
      <c r="A24" s="255" t="s">
        <v>1591</v>
      </c>
      <c r="B24" s="256"/>
      <c r="C24" s="256"/>
      <c r="D24" s="257"/>
      <c r="E24" s="105">
        <f>SUM(E25:E25)</f>
        <v>1314.66</v>
      </c>
    </row>
    <row r="25" spans="1:6" ht="13.5" customHeight="1" outlineLevel="2">
      <c r="A25" s="42"/>
      <c r="B25" s="87" t="s">
        <v>130</v>
      </c>
      <c r="C25" s="83" t="s">
        <v>1578</v>
      </c>
      <c r="D25" s="83" t="s">
        <v>2207</v>
      </c>
      <c r="E25" s="106">
        <v>1314.66</v>
      </c>
      <c r="F25" s="14"/>
    </row>
    <row r="26" spans="1:5" ht="12.75" customHeight="1" outlineLevel="1">
      <c r="A26" s="255" t="s">
        <v>1599</v>
      </c>
      <c r="B26" s="256"/>
      <c r="C26" s="256"/>
      <c r="D26" s="257"/>
      <c r="E26" s="105">
        <f>SUM(E27:E28)</f>
        <v>2183.85</v>
      </c>
    </row>
    <row r="27" spans="1:6" ht="15" outlineLevel="2">
      <c r="A27" s="42"/>
      <c r="B27" s="83" t="s">
        <v>17</v>
      </c>
      <c r="C27" s="83" t="s">
        <v>1579</v>
      </c>
      <c r="D27" s="83" t="s">
        <v>2360</v>
      </c>
      <c r="E27" s="106">
        <v>29</v>
      </c>
      <c r="F27" s="14"/>
    </row>
    <row r="28" spans="1:6" ht="15" outlineLevel="2">
      <c r="A28" s="42"/>
      <c r="B28" s="83" t="s">
        <v>730</v>
      </c>
      <c r="C28" s="83" t="s">
        <v>1584</v>
      </c>
      <c r="D28" s="83" t="s">
        <v>1405</v>
      </c>
      <c r="E28" s="106">
        <v>2154.85</v>
      </c>
      <c r="F28" s="14"/>
    </row>
    <row r="29" spans="1:5" ht="13.5" customHeight="1" outlineLevel="1" collapsed="1">
      <c r="A29" s="255" t="s">
        <v>1713</v>
      </c>
      <c r="B29" s="256"/>
      <c r="C29" s="256"/>
      <c r="D29" s="257"/>
      <c r="E29" s="105">
        <f>SUM(E30:E41)</f>
        <v>17190.28</v>
      </c>
    </row>
    <row r="30" spans="1:6" ht="15" hidden="1" outlineLevel="2">
      <c r="A30" s="42"/>
      <c r="B30" s="82"/>
      <c r="C30" s="82" t="s">
        <v>1577</v>
      </c>
      <c r="D30" s="82" t="s">
        <v>1496</v>
      </c>
      <c r="E30" s="106">
        <v>1454.94</v>
      </c>
      <c r="F30" s="14"/>
    </row>
    <row r="31" spans="1:6" ht="15" hidden="1" outlineLevel="2">
      <c r="A31" s="42"/>
      <c r="B31" s="83"/>
      <c r="C31" s="83" t="s">
        <v>1578</v>
      </c>
      <c r="D31" s="83" t="s">
        <v>1496</v>
      </c>
      <c r="E31" s="106">
        <v>1454.94</v>
      </c>
      <c r="F31" s="14"/>
    </row>
    <row r="32" spans="1:6" ht="15" hidden="1" outlineLevel="2">
      <c r="A32" s="42"/>
      <c r="B32" s="83"/>
      <c r="C32" s="83" t="s">
        <v>1579</v>
      </c>
      <c r="D32" s="83" t="s">
        <v>1496</v>
      </c>
      <c r="E32" s="106">
        <v>1454.94</v>
      </c>
      <c r="F32" s="14"/>
    </row>
    <row r="33" spans="1:6" ht="15" hidden="1" outlineLevel="2">
      <c r="A33" s="42"/>
      <c r="B33" s="83"/>
      <c r="C33" s="83" t="s">
        <v>1580</v>
      </c>
      <c r="D33" s="83" t="s">
        <v>1496</v>
      </c>
      <c r="E33" s="106">
        <v>1454.94</v>
      </c>
      <c r="F33" s="14"/>
    </row>
    <row r="34" spans="1:6" ht="15" hidden="1" outlineLevel="2">
      <c r="A34" s="42"/>
      <c r="B34" s="83"/>
      <c r="C34" s="83" t="s">
        <v>1581</v>
      </c>
      <c r="D34" s="83" t="s">
        <v>1496</v>
      </c>
      <c r="E34" s="106">
        <v>1401.14</v>
      </c>
      <c r="F34" s="14"/>
    </row>
    <row r="35" spans="1:6" ht="15" hidden="1" outlineLevel="2">
      <c r="A35" s="42"/>
      <c r="B35" s="83"/>
      <c r="C35" s="83" t="s">
        <v>1582</v>
      </c>
      <c r="D35" s="83" t="s">
        <v>1496</v>
      </c>
      <c r="E35" s="106">
        <v>1401.14</v>
      </c>
      <c r="F35" s="14"/>
    </row>
    <row r="36" spans="1:6" ht="15" hidden="1" outlineLevel="2">
      <c r="A36" s="42"/>
      <c r="B36" s="83"/>
      <c r="C36" s="83" t="s">
        <v>1583</v>
      </c>
      <c r="D36" s="83" t="s">
        <v>1496</v>
      </c>
      <c r="E36" s="106">
        <v>1401.14</v>
      </c>
      <c r="F36" s="14"/>
    </row>
    <row r="37" spans="1:6" ht="15" hidden="1" outlineLevel="2">
      <c r="A37" s="42"/>
      <c r="B37" s="83"/>
      <c r="C37" s="83" t="s">
        <v>1584</v>
      </c>
      <c r="D37" s="83" t="s">
        <v>1496</v>
      </c>
      <c r="E37" s="106">
        <v>1401.14</v>
      </c>
      <c r="F37" s="14"/>
    </row>
    <row r="38" spans="1:6" ht="15" hidden="1" outlineLevel="2">
      <c r="A38" s="42"/>
      <c r="B38" s="83"/>
      <c r="C38" s="83" t="s">
        <v>1585</v>
      </c>
      <c r="D38" s="83" t="s">
        <v>1496</v>
      </c>
      <c r="E38" s="106">
        <v>1401.14</v>
      </c>
      <c r="F38" s="14"/>
    </row>
    <row r="39" spans="1:6" ht="15" hidden="1" outlineLevel="2">
      <c r="A39" s="42"/>
      <c r="B39" s="83"/>
      <c r="C39" s="83" t="s">
        <v>1586</v>
      </c>
      <c r="D39" s="83" t="s">
        <v>1496</v>
      </c>
      <c r="E39" s="106">
        <v>1454.94</v>
      </c>
      <c r="F39" s="14"/>
    </row>
    <row r="40" spans="1:6" ht="15" hidden="1" outlineLevel="2">
      <c r="A40" s="42"/>
      <c r="B40" s="83"/>
      <c r="C40" s="83" t="s">
        <v>1587</v>
      </c>
      <c r="D40" s="83" t="s">
        <v>1496</v>
      </c>
      <c r="E40" s="106">
        <v>1454.94</v>
      </c>
      <c r="F40" s="14"/>
    </row>
    <row r="41" spans="1:6" ht="15" hidden="1" outlineLevel="2">
      <c r="A41" s="42"/>
      <c r="B41" s="89"/>
      <c r="C41" s="83" t="s">
        <v>1588</v>
      </c>
      <c r="D41" s="83" t="s">
        <v>1496</v>
      </c>
      <c r="E41" s="106">
        <v>1454.94</v>
      </c>
      <c r="F41" s="14"/>
    </row>
    <row r="42" spans="1:5" ht="12.75" customHeight="1" outlineLevel="1">
      <c r="A42" s="255" t="s">
        <v>1714</v>
      </c>
      <c r="B42" s="256"/>
      <c r="C42" s="256"/>
      <c r="D42" s="257"/>
      <c r="E42" s="105">
        <f>1.46*411*12</f>
        <v>7200.719999999999</v>
      </c>
    </row>
    <row r="43" spans="1:5" ht="12.75" customHeight="1" outlineLevel="1">
      <c r="A43" s="255" t="s">
        <v>1715</v>
      </c>
      <c r="B43" s="256"/>
      <c r="C43" s="256"/>
      <c r="D43" s="257"/>
      <c r="E43" s="105">
        <f>SUM(E44:E46)</f>
        <v>655.19</v>
      </c>
    </row>
    <row r="44" spans="1:6" ht="15" outlineLevel="2">
      <c r="A44" s="42"/>
      <c r="B44" s="83" t="s">
        <v>2</v>
      </c>
      <c r="C44" s="83" t="s">
        <v>1578</v>
      </c>
      <c r="D44" s="83" t="s">
        <v>1495</v>
      </c>
      <c r="E44" s="106">
        <v>106.08</v>
      </c>
      <c r="F44" s="14"/>
    </row>
    <row r="45" spans="1:6" ht="15" outlineLevel="2">
      <c r="A45" s="42"/>
      <c r="B45" s="83" t="s">
        <v>1635</v>
      </c>
      <c r="C45" s="83" t="s">
        <v>1585</v>
      </c>
      <c r="D45" s="83" t="s">
        <v>110</v>
      </c>
      <c r="E45" s="106">
        <v>181</v>
      </c>
      <c r="F45" s="14"/>
    </row>
    <row r="46" spans="1:6" ht="15" outlineLevel="2">
      <c r="A46" s="42"/>
      <c r="B46" s="83" t="s">
        <v>1958</v>
      </c>
      <c r="C46" s="83" t="s">
        <v>1588</v>
      </c>
      <c r="D46" s="83" t="s">
        <v>1960</v>
      </c>
      <c r="E46" s="106">
        <v>368.11</v>
      </c>
      <c r="F46" s="14"/>
    </row>
    <row r="47" spans="1:5" ht="14.25" customHeight="1" outlineLevel="1">
      <c r="A47" s="255" t="s">
        <v>1595</v>
      </c>
      <c r="B47" s="256"/>
      <c r="C47" s="256"/>
      <c r="D47" s="257"/>
      <c r="E47" s="105">
        <f>SUM(E48:E53)</f>
        <v>8204.01</v>
      </c>
    </row>
    <row r="48" spans="1:6" ht="16.5" customHeight="1" outlineLevel="2">
      <c r="A48" s="42"/>
      <c r="B48" s="82" t="s">
        <v>5</v>
      </c>
      <c r="C48" s="82" t="s">
        <v>1577</v>
      </c>
      <c r="D48" s="82" t="s">
        <v>2055</v>
      </c>
      <c r="E48" s="106">
        <v>2236.1</v>
      </c>
      <c r="F48" s="14"/>
    </row>
    <row r="49" spans="1:6" ht="15" outlineLevel="2">
      <c r="A49" s="42"/>
      <c r="B49" s="83" t="s">
        <v>64</v>
      </c>
      <c r="C49" s="83" t="s">
        <v>1577</v>
      </c>
      <c r="D49" s="83" t="s">
        <v>2123</v>
      </c>
      <c r="E49" s="106">
        <v>143.31</v>
      </c>
      <c r="F49" s="14"/>
    </row>
    <row r="50" spans="1:6" ht="15" outlineLevel="2">
      <c r="A50" s="42"/>
      <c r="B50" s="83" t="s">
        <v>1473</v>
      </c>
      <c r="C50" s="83" t="s">
        <v>1578</v>
      </c>
      <c r="D50" s="83" t="s">
        <v>1474</v>
      </c>
      <c r="E50" s="106">
        <v>3492</v>
      </c>
      <c r="F50" s="14"/>
    </row>
    <row r="51" spans="1:6" ht="30" outlineLevel="2">
      <c r="A51" s="42"/>
      <c r="B51" s="83" t="s">
        <v>1992</v>
      </c>
      <c r="C51" s="83" t="s">
        <v>1579</v>
      </c>
      <c r="D51" s="83" t="s">
        <v>1611</v>
      </c>
      <c r="E51" s="106">
        <v>306.06</v>
      </c>
      <c r="F51" s="14"/>
    </row>
    <row r="52" spans="1:6" ht="15" outlineLevel="2">
      <c r="A52" s="42"/>
      <c r="B52" s="83" t="s">
        <v>629</v>
      </c>
      <c r="C52" s="83" t="s">
        <v>1584</v>
      </c>
      <c r="D52" s="83" t="s">
        <v>631</v>
      </c>
      <c r="E52" s="106">
        <v>657.54</v>
      </c>
      <c r="F52" s="14"/>
    </row>
    <row r="53" spans="1:6" ht="30" outlineLevel="2">
      <c r="A53" s="42"/>
      <c r="B53" s="83" t="s">
        <v>2057</v>
      </c>
      <c r="C53" s="83" t="s">
        <v>1586</v>
      </c>
      <c r="D53" s="83" t="s">
        <v>2056</v>
      </c>
      <c r="E53" s="106">
        <v>1369</v>
      </c>
      <c r="F53" s="14"/>
    </row>
    <row r="54" spans="1:5" ht="13.5" customHeight="1" outlineLevel="1">
      <c r="A54" s="255" t="s">
        <v>1718</v>
      </c>
      <c r="B54" s="256"/>
      <c r="C54" s="256"/>
      <c r="D54" s="257"/>
      <c r="E54" s="105">
        <f>SUM(E55:E57)</f>
        <v>1659.2</v>
      </c>
    </row>
    <row r="55" spans="1:6" ht="15" outlineLevel="2">
      <c r="A55" s="42"/>
      <c r="B55" s="83" t="s">
        <v>2</v>
      </c>
      <c r="C55" s="83" t="s">
        <v>1581</v>
      </c>
      <c r="D55" s="83" t="s">
        <v>2391</v>
      </c>
      <c r="E55" s="106">
        <v>262.8</v>
      </c>
      <c r="F55" s="14"/>
    </row>
    <row r="56" spans="1:6" ht="15" outlineLevel="2">
      <c r="A56" s="42"/>
      <c r="B56" s="83" t="s">
        <v>2</v>
      </c>
      <c r="C56" s="83" t="s">
        <v>57</v>
      </c>
      <c r="D56" s="83" t="s">
        <v>936</v>
      </c>
      <c r="E56" s="106">
        <v>134.4</v>
      </c>
      <c r="F56" s="14"/>
    </row>
    <row r="57" spans="1:6" ht="15" outlineLevel="2">
      <c r="A57" s="42"/>
      <c r="B57" s="84" t="s">
        <v>1539</v>
      </c>
      <c r="C57" s="84" t="s">
        <v>1585</v>
      </c>
      <c r="D57" s="84" t="s">
        <v>1540</v>
      </c>
      <c r="E57" s="106">
        <v>1262</v>
      </c>
      <c r="F57" s="14"/>
    </row>
    <row r="58" spans="1:6" ht="12.75" customHeight="1" outlineLevel="2">
      <c r="A58" s="255" t="s">
        <v>2219</v>
      </c>
      <c r="B58" s="256"/>
      <c r="C58" s="256"/>
      <c r="D58" s="257"/>
      <c r="E58" s="105">
        <f>0.1*411*12</f>
        <v>493.20000000000005</v>
      </c>
      <c r="F58" s="14"/>
    </row>
    <row r="59" spans="1:6" ht="14.25" customHeight="1" outlineLevel="2">
      <c r="A59" s="255" t="s">
        <v>1369</v>
      </c>
      <c r="B59" s="256"/>
      <c r="C59" s="256"/>
      <c r="D59" s="257"/>
      <c r="E59" s="105">
        <v>3166.66</v>
      </c>
      <c r="F59" s="14"/>
    </row>
    <row r="60" spans="1:6" ht="15">
      <c r="A60" s="42"/>
      <c r="B60" s="270" t="s">
        <v>59</v>
      </c>
      <c r="C60" s="270"/>
      <c r="D60" s="270"/>
      <c r="E60" s="43">
        <f>1.57*411*12</f>
        <v>7743.24</v>
      </c>
      <c r="F60" s="14"/>
    </row>
    <row r="61" spans="1:6" ht="15">
      <c r="A61" s="42"/>
      <c r="B61" s="270" t="s">
        <v>256</v>
      </c>
      <c r="C61" s="270"/>
      <c r="D61" s="270"/>
      <c r="E61" s="43">
        <f>10.3*(E63+E64)/100</f>
        <v>15477.563830000001</v>
      </c>
      <c r="F61" s="14"/>
    </row>
    <row r="62" spans="1:5" ht="15">
      <c r="A62" s="42">
        <v>1</v>
      </c>
      <c r="B62" s="272" t="s">
        <v>659</v>
      </c>
      <c r="C62" s="272"/>
      <c r="D62" s="272"/>
      <c r="E62" s="44">
        <f>E61+E60+E11+E4</f>
        <v>423141.49382999993</v>
      </c>
    </row>
    <row r="63" spans="1:6" ht="15">
      <c r="A63" s="42">
        <v>2</v>
      </c>
      <c r="B63" s="270" t="s">
        <v>258</v>
      </c>
      <c r="C63" s="270"/>
      <c r="D63" s="270"/>
      <c r="E63" s="43">
        <v>132228.82</v>
      </c>
      <c r="F63" s="14"/>
    </row>
    <row r="64" spans="1:5" ht="15">
      <c r="A64" s="42">
        <v>3</v>
      </c>
      <c r="B64" s="270" t="s">
        <v>259</v>
      </c>
      <c r="C64" s="270"/>
      <c r="D64" s="270"/>
      <c r="E64" s="43">
        <v>18038.79</v>
      </c>
    </row>
    <row r="65" spans="1:5" ht="15">
      <c r="A65" s="42">
        <v>4</v>
      </c>
      <c r="B65" s="270" t="s">
        <v>660</v>
      </c>
      <c r="C65" s="270"/>
      <c r="D65" s="270"/>
      <c r="E65" s="43">
        <v>424838.91</v>
      </c>
    </row>
    <row r="66" spans="1:5" ht="15">
      <c r="A66" s="42">
        <v>5</v>
      </c>
      <c r="B66" s="270" t="s">
        <v>2340</v>
      </c>
      <c r="C66" s="270"/>
      <c r="D66" s="270"/>
      <c r="E66" s="43">
        <v>92852.84</v>
      </c>
    </row>
    <row r="67" spans="1:5" ht="15">
      <c r="A67" s="42">
        <v>6</v>
      </c>
      <c r="B67" s="272" t="s">
        <v>2341</v>
      </c>
      <c r="C67" s="272"/>
      <c r="D67" s="272"/>
      <c r="E67" s="44">
        <f>'[5]Мира 18'!$E$69+E62</f>
        <v>732340.89383</v>
      </c>
    </row>
    <row r="68" spans="1:5" ht="15">
      <c r="A68" s="42">
        <v>7</v>
      </c>
      <c r="B68" s="270" t="s">
        <v>732</v>
      </c>
      <c r="C68" s="270"/>
      <c r="D68" s="270"/>
      <c r="E68" s="43">
        <v>58395.19</v>
      </c>
    </row>
    <row r="69" spans="1:5" ht="15">
      <c r="A69" s="42">
        <v>8</v>
      </c>
      <c r="B69" s="270" t="s">
        <v>733</v>
      </c>
      <c r="C69" s="270"/>
      <c r="D69" s="270"/>
      <c r="E69" s="43">
        <v>12760.33</v>
      </c>
    </row>
    <row r="70" spans="1:5" ht="15">
      <c r="A70" s="42">
        <v>9</v>
      </c>
      <c r="B70" s="272" t="s">
        <v>734</v>
      </c>
      <c r="C70" s="272"/>
      <c r="D70" s="272"/>
      <c r="E70" s="44">
        <f>'[5]Мира 18'!$E$72+E73</f>
        <v>0</v>
      </c>
    </row>
    <row r="71" spans="1:5" ht="15">
      <c r="A71" s="42">
        <v>10</v>
      </c>
      <c r="B71" s="270" t="s">
        <v>260</v>
      </c>
      <c r="C71" s="270"/>
      <c r="D71" s="270"/>
      <c r="E71" s="43">
        <v>30590.78</v>
      </c>
    </row>
    <row r="72" spans="1:5" ht="15">
      <c r="A72" s="42">
        <v>11</v>
      </c>
      <c r="B72" s="270" t="s">
        <v>735</v>
      </c>
      <c r="C72" s="270"/>
      <c r="D72" s="270"/>
      <c r="E72" s="43">
        <v>4173.23</v>
      </c>
    </row>
    <row r="73" spans="1:5" ht="15">
      <c r="A73" s="42">
        <v>12</v>
      </c>
      <c r="B73" s="272" t="s">
        <v>736</v>
      </c>
      <c r="C73" s="272"/>
      <c r="D73" s="272"/>
      <c r="E73" s="44">
        <v>0</v>
      </c>
    </row>
    <row r="74" spans="1:5" ht="15.75" customHeight="1">
      <c r="A74" s="42">
        <v>13</v>
      </c>
      <c r="B74" s="271" t="s">
        <v>2271</v>
      </c>
      <c r="C74" s="271"/>
      <c r="D74" s="271"/>
      <c r="E74" s="45">
        <f>E65-E67</f>
        <v>-307501.98383</v>
      </c>
    </row>
    <row r="75" spans="1:5" ht="15.75" customHeight="1">
      <c r="A75" s="42">
        <v>14</v>
      </c>
      <c r="B75" s="271" t="s">
        <v>738</v>
      </c>
      <c r="C75" s="271"/>
      <c r="D75" s="271"/>
      <c r="E75" s="45">
        <f>E68-E70</f>
        <v>58395.19</v>
      </c>
    </row>
    <row r="76" spans="1:5" ht="27.75" customHeight="1">
      <c r="A76" s="42">
        <v>15</v>
      </c>
      <c r="B76" s="271" t="s">
        <v>2273</v>
      </c>
      <c r="C76" s="271"/>
      <c r="D76" s="271"/>
      <c r="E76" s="45">
        <f>E66-E67</f>
        <v>-639488.05383</v>
      </c>
    </row>
    <row r="77" ht="12.75">
      <c r="E77" s="39"/>
    </row>
    <row r="78" spans="5:8" ht="12.75">
      <c r="E78" s="39"/>
      <c r="H78" s="12" t="s">
        <v>492</v>
      </c>
    </row>
    <row r="79" spans="2:8" ht="20.25">
      <c r="B79" s="254" t="s">
        <v>1994</v>
      </c>
      <c r="C79" s="254"/>
      <c r="D79" s="254"/>
      <c r="E79" s="241"/>
      <c r="H79" s="12" t="s">
        <v>493</v>
      </c>
    </row>
    <row r="80" spans="2:8" ht="27">
      <c r="B80" s="350" t="s">
        <v>359</v>
      </c>
      <c r="C80" s="350"/>
      <c r="D80" s="350"/>
      <c r="E80" s="241"/>
      <c r="H80" s="12" t="s">
        <v>494</v>
      </c>
    </row>
    <row r="81" spans="2:8" ht="15.75">
      <c r="B81" s="243" t="s">
        <v>1995</v>
      </c>
      <c r="C81" s="243"/>
      <c r="D81" s="243"/>
      <c r="E81" s="251">
        <v>125600</v>
      </c>
      <c r="H81" s="12" t="s">
        <v>495</v>
      </c>
    </row>
    <row r="82" spans="2:5" ht="15.75">
      <c r="B82" s="351" t="s">
        <v>1996</v>
      </c>
      <c r="C82" s="352"/>
      <c r="D82" s="353"/>
      <c r="E82" s="252">
        <f>SUM(E83:E83)</f>
        <v>50000</v>
      </c>
    </row>
    <row r="83" spans="1:6" ht="15" outlineLevel="2">
      <c r="A83" s="81"/>
      <c r="B83" s="323" t="s">
        <v>2154</v>
      </c>
      <c r="C83" s="324"/>
      <c r="D83" s="325"/>
      <c r="E83" s="106">
        <v>50000</v>
      </c>
      <c r="F83" s="14"/>
    </row>
    <row r="84" spans="2:5" ht="15.75">
      <c r="B84" s="343" t="s">
        <v>356</v>
      </c>
      <c r="C84" s="344"/>
      <c r="D84" s="345"/>
      <c r="E84" s="249">
        <v>52400</v>
      </c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 t="s">
        <v>358</v>
      </c>
      <c r="C87"/>
      <c r="D87"/>
      <c r="E87"/>
    </row>
  </sheetData>
  <sheetProtection/>
  <mergeCells count="39">
    <mergeCell ref="B66:D66"/>
    <mergeCell ref="B72:D72"/>
    <mergeCell ref="B83:D83"/>
    <mergeCell ref="B82:D82"/>
    <mergeCell ref="B75:D75"/>
    <mergeCell ref="B67:D67"/>
    <mergeCell ref="B84:D84"/>
    <mergeCell ref="B80:D80"/>
    <mergeCell ref="B65:D65"/>
    <mergeCell ref="B76:D76"/>
    <mergeCell ref="B68:D68"/>
    <mergeCell ref="B69:D69"/>
    <mergeCell ref="B70:D70"/>
    <mergeCell ref="B71:D71"/>
    <mergeCell ref="B74:D74"/>
    <mergeCell ref="B73:D73"/>
    <mergeCell ref="B64:D64"/>
    <mergeCell ref="A29:D29"/>
    <mergeCell ref="A47:D47"/>
    <mergeCell ref="A54:D54"/>
    <mergeCell ref="B60:D60"/>
    <mergeCell ref="B63:D63"/>
    <mergeCell ref="A43:D43"/>
    <mergeCell ref="B62:D62"/>
    <mergeCell ref="B61:D61"/>
    <mergeCell ref="A21:D21"/>
    <mergeCell ref="A15:D15"/>
    <mergeCell ref="A58:D58"/>
    <mergeCell ref="A59:D59"/>
    <mergeCell ref="A42:D42"/>
    <mergeCell ref="A24:D24"/>
    <mergeCell ref="A26:D26"/>
    <mergeCell ref="A12:D12"/>
    <mergeCell ref="B1:E1"/>
    <mergeCell ref="A5:D5"/>
    <mergeCell ref="A7:D7"/>
    <mergeCell ref="A9:D9"/>
    <mergeCell ref="B4:C4"/>
    <mergeCell ref="B11:C11"/>
  </mergeCells>
  <printOptions/>
  <pageMargins left="0.17" right="0.17" top="0.27" bottom="0.2755905511811024" header="0.3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43">
      <selection activeCell="D69" sqref="D69"/>
    </sheetView>
  </sheetViews>
  <sheetFormatPr defaultColWidth="9.140625" defaultRowHeight="12.75"/>
  <cols>
    <col min="1" max="1" width="14.140625" style="0" customWidth="1"/>
    <col min="2" max="2" width="9.28125" style="0" customWidth="1"/>
    <col min="3" max="3" width="64.421875" style="0" customWidth="1"/>
    <col min="4" max="4" width="14.28125" style="0" customWidth="1"/>
    <col min="6" max="6" width="12.28125" style="0" customWidth="1"/>
  </cols>
  <sheetData>
    <row r="1" spans="1:4" ht="16.5" thickBot="1">
      <c r="A1" s="362" t="s">
        <v>1735</v>
      </c>
      <c r="B1" s="362"/>
      <c r="C1" s="362"/>
      <c r="D1" s="362"/>
    </row>
    <row r="2" spans="1:4" ht="24">
      <c r="A2" s="2" t="s">
        <v>1570</v>
      </c>
      <c r="B2" s="3" t="s">
        <v>1571</v>
      </c>
      <c r="C2" s="4" t="s">
        <v>1572</v>
      </c>
      <c r="D2" s="5" t="s">
        <v>1573</v>
      </c>
    </row>
    <row r="3" spans="1:4" ht="12.75" customHeight="1">
      <c r="A3" s="363" t="s">
        <v>1575</v>
      </c>
      <c r="B3" s="363"/>
      <c r="C3" s="207"/>
      <c r="D3" s="208">
        <f>D4+D6+D9+D11+D14+D17</f>
        <v>190503.08</v>
      </c>
    </row>
    <row r="4" spans="1:4" ht="12.75">
      <c r="A4" s="209" t="s">
        <v>1591</v>
      </c>
      <c r="B4" s="210"/>
      <c r="C4" s="210"/>
      <c r="D4" s="211">
        <f>D5</f>
        <v>5783</v>
      </c>
    </row>
    <row r="5" spans="1:4" ht="12.75">
      <c r="A5" s="212" t="s">
        <v>1736</v>
      </c>
      <c r="B5" s="212" t="s">
        <v>1583</v>
      </c>
      <c r="C5" s="212" t="s">
        <v>1737</v>
      </c>
      <c r="D5" s="213">
        <v>5783</v>
      </c>
    </row>
    <row r="6" spans="1:4" ht="12.75">
      <c r="A6" s="209" t="s">
        <v>1593</v>
      </c>
      <c r="B6" s="210"/>
      <c r="C6" s="210"/>
      <c r="D6" s="211">
        <f>D7+D8</f>
        <v>49257.2</v>
      </c>
    </row>
    <row r="7" spans="1:4" ht="12.75">
      <c r="A7" s="212" t="s">
        <v>874</v>
      </c>
      <c r="B7" s="212" t="s">
        <v>1582</v>
      </c>
      <c r="C7" s="212" t="s">
        <v>1738</v>
      </c>
      <c r="D7" s="213">
        <v>24906</v>
      </c>
    </row>
    <row r="8" spans="1:4" ht="12.75">
      <c r="A8" s="212" t="s">
        <v>1739</v>
      </c>
      <c r="B8" s="212" t="s">
        <v>1586</v>
      </c>
      <c r="C8" s="212" t="s">
        <v>1740</v>
      </c>
      <c r="D8" s="213">
        <v>24351.2</v>
      </c>
    </row>
    <row r="9" spans="1:4" ht="12.75">
      <c r="A9" s="209" t="s">
        <v>1595</v>
      </c>
      <c r="B9" s="210"/>
      <c r="C9" s="210"/>
      <c r="D9" s="211">
        <f>D10</f>
        <v>16426.36</v>
      </c>
    </row>
    <row r="10" spans="1:4" ht="12.75">
      <c r="A10" s="214" t="s">
        <v>1741</v>
      </c>
      <c r="B10" s="212" t="s">
        <v>1580</v>
      </c>
      <c r="C10" s="214" t="s">
        <v>1742</v>
      </c>
      <c r="D10" s="213">
        <v>16426.36</v>
      </c>
    </row>
    <row r="11" spans="1:4" ht="12.75">
      <c r="A11" s="209" t="s">
        <v>1597</v>
      </c>
      <c r="B11" s="210"/>
      <c r="C11" s="210"/>
      <c r="D11" s="211">
        <f>D12+D13</f>
        <v>103088</v>
      </c>
    </row>
    <row r="12" spans="1:4" ht="12.75">
      <c r="A12" s="212" t="s">
        <v>2078</v>
      </c>
      <c r="B12" s="212" t="s">
        <v>1582</v>
      </c>
      <c r="C12" s="212" t="s">
        <v>1743</v>
      </c>
      <c r="D12" s="213">
        <v>36114</v>
      </c>
    </row>
    <row r="13" spans="1:4" ht="12.75">
      <c r="A13" s="212" t="s">
        <v>1744</v>
      </c>
      <c r="B13" s="212" t="s">
        <v>1586</v>
      </c>
      <c r="C13" s="212" t="s">
        <v>1745</v>
      </c>
      <c r="D13" s="213">
        <v>66974</v>
      </c>
    </row>
    <row r="14" spans="1:4" ht="12.75">
      <c r="A14" s="209" t="s">
        <v>1746</v>
      </c>
      <c r="B14" s="210"/>
      <c r="C14" s="210"/>
      <c r="D14" s="211">
        <f>D15+D16</f>
        <v>2560</v>
      </c>
    </row>
    <row r="15" spans="1:4" ht="12.75">
      <c r="A15" s="212" t="s">
        <v>40</v>
      </c>
      <c r="B15" s="212" t="s">
        <v>1583</v>
      </c>
      <c r="C15" s="212" t="s">
        <v>1747</v>
      </c>
      <c r="D15" s="213">
        <v>1280</v>
      </c>
    </row>
    <row r="16" spans="1:4" ht="12.75">
      <c r="A16" s="212" t="s">
        <v>2004</v>
      </c>
      <c r="B16" s="212" t="s">
        <v>1588</v>
      </c>
      <c r="C16" s="212" t="s">
        <v>1748</v>
      </c>
      <c r="D16" s="213">
        <v>1280</v>
      </c>
    </row>
    <row r="17" spans="1:4" ht="12.75">
      <c r="A17" s="209" t="s">
        <v>1599</v>
      </c>
      <c r="B17" s="210"/>
      <c r="C17" s="210"/>
      <c r="D17" s="211">
        <f>D18+D19</f>
        <v>13388.52</v>
      </c>
    </row>
    <row r="18" spans="1:4" ht="12.75">
      <c r="A18" s="212" t="s">
        <v>1749</v>
      </c>
      <c r="B18" s="212" t="s">
        <v>1577</v>
      </c>
      <c r="C18" s="212" t="s">
        <v>1</v>
      </c>
      <c r="D18" s="213">
        <v>4677.52</v>
      </c>
    </row>
    <row r="19" spans="1:4" ht="12.75">
      <c r="A19" s="215" t="s">
        <v>1750</v>
      </c>
      <c r="B19" s="212" t="s">
        <v>1588</v>
      </c>
      <c r="C19" s="216" t="s">
        <v>1751</v>
      </c>
      <c r="D19" s="217">
        <v>8711</v>
      </c>
    </row>
    <row r="20" spans="1:4" ht="12.75" customHeight="1">
      <c r="A20" s="364" t="s">
        <v>1600</v>
      </c>
      <c r="B20" s="364"/>
      <c r="C20" s="218"/>
      <c r="D20" s="219">
        <f>D21+D62+D71+D72+D73+D91+D93+D105+D112+D113+D89</f>
        <v>359472.822</v>
      </c>
    </row>
    <row r="21" spans="1:4" ht="12.75">
      <c r="A21" s="220" t="s">
        <v>2137</v>
      </c>
      <c r="B21" s="221"/>
      <c r="C21" s="210"/>
      <c r="D21" s="211">
        <f>SUM(D22:D61)</f>
        <v>86038.10199999998</v>
      </c>
    </row>
    <row r="22" spans="1:4" ht="12.75">
      <c r="A22" s="212" t="s">
        <v>872</v>
      </c>
      <c r="B22" s="212" t="s">
        <v>1578</v>
      </c>
      <c r="C22" s="212" t="s">
        <v>1752</v>
      </c>
      <c r="D22" s="213">
        <v>339.7</v>
      </c>
    </row>
    <row r="23" spans="1:4" ht="12.75">
      <c r="A23" s="212" t="s">
        <v>16</v>
      </c>
      <c r="B23" s="212" t="s">
        <v>1579</v>
      </c>
      <c r="C23" s="212" t="s">
        <v>1753</v>
      </c>
      <c r="D23" s="213">
        <v>1171.6</v>
      </c>
    </row>
    <row r="24" spans="1:4" ht="12.75">
      <c r="A24" s="222" t="s">
        <v>2</v>
      </c>
      <c r="B24" s="212" t="s">
        <v>1580</v>
      </c>
      <c r="C24" s="222" t="s">
        <v>1754</v>
      </c>
      <c r="D24" s="213">
        <v>59.95</v>
      </c>
    </row>
    <row r="25" spans="1:4" ht="25.5">
      <c r="A25" s="222" t="s">
        <v>1755</v>
      </c>
      <c r="B25" s="212" t="s">
        <v>1582</v>
      </c>
      <c r="C25" s="222" t="s">
        <v>1756</v>
      </c>
      <c r="D25" s="213">
        <v>434.94</v>
      </c>
    </row>
    <row r="26" spans="1:4" ht="69" customHeight="1">
      <c r="A26" s="222" t="s">
        <v>1757</v>
      </c>
      <c r="B26" s="212" t="s">
        <v>1583</v>
      </c>
      <c r="C26" s="222" t="s">
        <v>1756</v>
      </c>
      <c r="D26" s="213">
        <v>1076.92</v>
      </c>
    </row>
    <row r="27" spans="1:4" ht="12.75">
      <c r="A27" s="222" t="s">
        <v>2</v>
      </c>
      <c r="B27" s="212" t="s">
        <v>1583</v>
      </c>
      <c r="C27" s="222" t="s">
        <v>855</v>
      </c>
      <c r="D27" s="213">
        <v>80.15</v>
      </c>
    </row>
    <row r="28" spans="1:4" ht="25.5">
      <c r="A28" s="212" t="s">
        <v>4</v>
      </c>
      <c r="B28" s="212" t="s">
        <v>1577</v>
      </c>
      <c r="C28" s="212" t="s">
        <v>1758</v>
      </c>
      <c r="D28" s="213">
        <v>428.3</v>
      </c>
    </row>
    <row r="29" spans="1:4" ht="25.5">
      <c r="A29" s="212" t="s">
        <v>2429</v>
      </c>
      <c r="B29" s="212" t="s">
        <v>1578</v>
      </c>
      <c r="C29" s="212" t="s">
        <v>1759</v>
      </c>
      <c r="D29" s="213">
        <v>641.73</v>
      </c>
    </row>
    <row r="30" spans="1:4" ht="12.75">
      <c r="A30" s="212" t="s">
        <v>14</v>
      </c>
      <c r="B30" s="212" t="s">
        <v>1579</v>
      </c>
      <c r="C30" s="212" t="s">
        <v>1760</v>
      </c>
      <c r="D30" s="213">
        <v>316.2</v>
      </c>
    </row>
    <row r="31" spans="1:4" ht="12.75">
      <c r="A31" s="212" t="s">
        <v>1708</v>
      </c>
      <c r="B31" s="212" t="s">
        <v>1581</v>
      </c>
      <c r="C31" s="212" t="s">
        <v>1761</v>
      </c>
      <c r="D31" s="213">
        <v>11484.42</v>
      </c>
    </row>
    <row r="32" spans="1:4" ht="12.75">
      <c r="A32" s="212" t="s">
        <v>875</v>
      </c>
      <c r="B32" s="212" t="s">
        <v>1582</v>
      </c>
      <c r="C32" s="212" t="s">
        <v>1762</v>
      </c>
      <c r="D32" s="213">
        <v>971.81</v>
      </c>
    </row>
    <row r="33" spans="1:4" ht="12.75">
      <c r="A33" s="212" t="s">
        <v>1689</v>
      </c>
      <c r="B33" s="212" t="s">
        <v>1582</v>
      </c>
      <c r="C33" s="212" t="s">
        <v>1763</v>
      </c>
      <c r="D33" s="213">
        <v>2500.68</v>
      </c>
    </row>
    <row r="34" spans="1:4" ht="51">
      <c r="A34" s="212" t="s">
        <v>1764</v>
      </c>
      <c r="B34" s="212" t="s">
        <v>1585</v>
      </c>
      <c r="C34" s="222" t="s">
        <v>1765</v>
      </c>
      <c r="D34" s="213">
        <v>6736</v>
      </c>
    </row>
    <row r="35" spans="1:4" ht="12.75">
      <c r="A35" s="222" t="s">
        <v>1766</v>
      </c>
      <c r="B35" s="212" t="s">
        <v>1588</v>
      </c>
      <c r="C35" s="222" t="s">
        <v>1767</v>
      </c>
      <c r="D35" s="213">
        <v>44</v>
      </c>
    </row>
    <row r="36" spans="1:4" ht="12.75">
      <c r="A36" s="223" t="s">
        <v>1768</v>
      </c>
      <c r="B36" s="212" t="s">
        <v>1578</v>
      </c>
      <c r="C36" s="212" t="s">
        <v>1769</v>
      </c>
      <c r="D36" s="213">
        <v>33.47</v>
      </c>
    </row>
    <row r="37" spans="1:4" ht="12.75">
      <c r="A37" s="223" t="s">
        <v>8</v>
      </c>
      <c r="B37" s="212" t="s">
        <v>1578</v>
      </c>
      <c r="C37" s="212" t="s">
        <v>1770</v>
      </c>
      <c r="D37" s="213">
        <v>1201.67</v>
      </c>
    </row>
    <row r="38" spans="1:4" ht="12.75">
      <c r="A38" s="223" t="s">
        <v>9</v>
      </c>
      <c r="B38" s="212" t="s">
        <v>1578</v>
      </c>
      <c r="C38" s="212" t="s">
        <v>1771</v>
      </c>
      <c r="D38" s="213">
        <v>7395.92</v>
      </c>
    </row>
    <row r="39" spans="1:4" ht="12.75">
      <c r="A39" s="223" t="s">
        <v>1701</v>
      </c>
      <c r="B39" s="212" t="s">
        <v>1580</v>
      </c>
      <c r="C39" s="212" t="s">
        <v>1772</v>
      </c>
      <c r="D39" s="213">
        <v>82.2</v>
      </c>
    </row>
    <row r="40" spans="1:4" ht="12.75">
      <c r="A40" s="223" t="s">
        <v>1702</v>
      </c>
      <c r="B40" s="212" t="s">
        <v>1580</v>
      </c>
      <c r="C40" s="212" t="s">
        <v>1773</v>
      </c>
      <c r="D40" s="213">
        <v>78.46</v>
      </c>
    </row>
    <row r="41" spans="1:4" ht="12.75">
      <c r="A41" s="223" t="s">
        <v>1705</v>
      </c>
      <c r="B41" s="212" t="s">
        <v>1581</v>
      </c>
      <c r="C41" s="212" t="s">
        <v>1706</v>
      </c>
      <c r="D41" s="213">
        <v>83.81</v>
      </c>
    </row>
    <row r="42" spans="1:4" ht="12.75">
      <c r="A42" s="224" t="s">
        <v>2</v>
      </c>
      <c r="B42" s="212" t="s">
        <v>1581</v>
      </c>
      <c r="C42" s="222" t="s">
        <v>1774</v>
      </c>
      <c r="D42" s="213">
        <v>165.51</v>
      </c>
    </row>
    <row r="43" spans="1:4" ht="12.75">
      <c r="A43" s="225" t="s">
        <v>1695</v>
      </c>
      <c r="B43" s="212" t="s">
        <v>1583</v>
      </c>
      <c r="C43" s="212" t="s">
        <v>1775</v>
      </c>
      <c r="D43" s="213">
        <v>2813.812</v>
      </c>
    </row>
    <row r="44" spans="1:4" ht="12.75">
      <c r="A44" s="225" t="s">
        <v>33</v>
      </c>
      <c r="B44" s="222" t="s">
        <v>1584</v>
      </c>
      <c r="C44" s="222" t="s">
        <v>1776</v>
      </c>
      <c r="D44" s="213">
        <v>1995.6</v>
      </c>
    </row>
    <row r="45" spans="1:4" ht="25.5">
      <c r="A45" s="225" t="s">
        <v>1777</v>
      </c>
      <c r="B45" s="222" t="s">
        <v>1584</v>
      </c>
      <c r="C45" s="222" t="s">
        <v>760</v>
      </c>
      <c r="D45" s="213">
        <v>5627.7</v>
      </c>
    </row>
    <row r="46" spans="1:4" ht="12.75">
      <c r="A46" s="223" t="s">
        <v>1494</v>
      </c>
      <c r="B46" s="212" t="s">
        <v>1581</v>
      </c>
      <c r="C46" s="212" t="s">
        <v>1778</v>
      </c>
      <c r="D46" s="213">
        <v>560.25</v>
      </c>
    </row>
    <row r="47" spans="1:4" ht="25.5">
      <c r="A47" s="224" t="s">
        <v>1779</v>
      </c>
      <c r="B47" s="222" t="s">
        <v>1586</v>
      </c>
      <c r="C47" s="222" t="s">
        <v>1780</v>
      </c>
      <c r="D47" s="213">
        <v>1470.65</v>
      </c>
    </row>
    <row r="48" spans="1:4" ht="12.75">
      <c r="A48" s="224" t="s">
        <v>1781</v>
      </c>
      <c r="B48" s="222" t="s">
        <v>1587</v>
      </c>
      <c r="C48" s="222" t="s">
        <v>1767</v>
      </c>
      <c r="D48" s="213">
        <v>45.53</v>
      </c>
    </row>
    <row r="49" spans="1:4" ht="25.5">
      <c r="A49" s="225" t="s">
        <v>1782</v>
      </c>
      <c r="B49" s="212" t="s">
        <v>1588</v>
      </c>
      <c r="C49" s="214" t="s">
        <v>1783</v>
      </c>
      <c r="D49" s="213">
        <v>1238</v>
      </c>
    </row>
    <row r="50" spans="1:4" ht="12.75">
      <c r="A50" s="223" t="s">
        <v>3</v>
      </c>
      <c r="B50" s="212" t="s">
        <v>1577</v>
      </c>
      <c r="C50" s="212" t="s">
        <v>1784</v>
      </c>
      <c r="D50" s="226">
        <v>1723.1</v>
      </c>
    </row>
    <row r="51" spans="1:4" ht="12.75">
      <c r="A51" s="223" t="s">
        <v>7</v>
      </c>
      <c r="B51" s="212" t="s">
        <v>1578</v>
      </c>
      <c r="C51" s="212" t="s">
        <v>1785</v>
      </c>
      <c r="D51" s="213">
        <v>2599.56</v>
      </c>
    </row>
    <row r="52" spans="1:4" ht="12.75">
      <c r="A52" s="223" t="s">
        <v>11</v>
      </c>
      <c r="B52" s="212" t="s">
        <v>1579</v>
      </c>
      <c r="C52" s="212" t="s">
        <v>1786</v>
      </c>
      <c r="D52" s="213">
        <v>1339.74</v>
      </c>
    </row>
    <row r="53" spans="1:4" ht="12.75">
      <c r="A53" s="223" t="s">
        <v>1787</v>
      </c>
      <c r="B53" s="212" t="s">
        <v>1581</v>
      </c>
      <c r="C53" s="212" t="s">
        <v>1788</v>
      </c>
      <c r="D53" s="213">
        <v>21848.9</v>
      </c>
    </row>
    <row r="54" spans="1:4" ht="12.75">
      <c r="A54" s="223" t="s">
        <v>1707</v>
      </c>
      <c r="B54" s="212" t="s">
        <v>1581</v>
      </c>
      <c r="C54" s="212" t="s">
        <v>1789</v>
      </c>
      <c r="D54" s="213">
        <v>1461.15</v>
      </c>
    </row>
    <row r="55" spans="1:4" ht="12.75">
      <c r="A55" s="223" t="s">
        <v>1683</v>
      </c>
      <c r="B55" s="212" t="s">
        <v>1582</v>
      </c>
      <c r="C55" s="212" t="s">
        <v>80</v>
      </c>
      <c r="D55" s="213">
        <v>1092.8</v>
      </c>
    </row>
    <row r="56" spans="1:4" ht="12.75">
      <c r="A56" s="223" t="s">
        <v>102</v>
      </c>
      <c r="B56" s="212" t="s">
        <v>1582</v>
      </c>
      <c r="C56" s="212" t="s">
        <v>1790</v>
      </c>
      <c r="D56" s="213">
        <v>738.83</v>
      </c>
    </row>
    <row r="57" spans="1:4" ht="12.75">
      <c r="A57" s="223" t="s">
        <v>103</v>
      </c>
      <c r="B57" s="212" t="s">
        <v>1582</v>
      </c>
      <c r="C57" s="212" t="s">
        <v>1791</v>
      </c>
      <c r="D57" s="213">
        <v>719.97</v>
      </c>
    </row>
    <row r="58" spans="1:4" ht="12.75">
      <c r="A58" s="223" t="s">
        <v>52</v>
      </c>
      <c r="B58" s="212" t="s">
        <v>1583</v>
      </c>
      <c r="C58" s="212" t="s">
        <v>1792</v>
      </c>
      <c r="D58" s="213">
        <v>1494.88</v>
      </c>
    </row>
    <row r="59" spans="1:4" ht="12.75">
      <c r="A59" s="223" t="s">
        <v>41</v>
      </c>
      <c r="B59" s="212" t="s">
        <v>1583</v>
      </c>
      <c r="C59" s="212" t="s">
        <v>1793</v>
      </c>
      <c r="D59" s="213">
        <v>2307.65</v>
      </c>
    </row>
    <row r="60" spans="1:4" ht="12.75">
      <c r="A60" s="223" t="s">
        <v>2365</v>
      </c>
      <c r="B60" s="212" t="s">
        <v>1583</v>
      </c>
      <c r="C60" s="212" t="s">
        <v>606</v>
      </c>
      <c r="D60" s="213">
        <v>900.49</v>
      </c>
    </row>
    <row r="61" spans="1:4" ht="12.75">
      <c r="A61" s="223" t="s">
        <v>36</v>
      </c>
      <c r="B61" s="212" t="s">
        <v>1581</v>
      </c>
      <c r="C61" s="212" t="s">
        <v>275</v>
      </c>
      <c r="D61" s="213">
        <v>732.05</v>
      </c>
    </row>
    <row r="62" spans="1:4" ht="12.75">
      <c r="A62" s="209" t="s">
        <v>1599</v>
      </c>
      <c r="B62" s="210"/>
      <c r="C62" s="210"/>
      <c r="D62" s="211">
        <f>SUM(D63:D70)</f>
        <v>16402.41</v>
      </c>
    </row>
    <row r="63" spans="1:4" ht="12.75">
      <c r="A63" s="212" t="s">
        <v>10</v>
      </c>
      <c r="B63" s="212" t="s">
        <v>1578</v>
      </c>
      <c r="C63" s="212" t="s">
        <v>1794</v>
      </c>
      <c r="D63" s="213">
        <v>28.67</v>
      </c>
    </row>
    <row r="64" spans="1:4" ht="12.75">
      <c r="A64" s="212" t="s">
        <v>17</v>
      </c>
      <c r="B64" s="212" t="s">
        <v>1579</v>
      </c>
      <c r="C64" s="212" t="s">
        <v>1795</v>
      </c>
      <c r="D64" s="213">
        <v>29</v>
      </c>
    </row>
    <row r="65" spans="1:4" ht="12.75">
      <c r="A65" s="212" t="s">
        <v>18</v>
      </c>
      <c r="B65" s="212" t="s">
        <v>1579</v>
      </c>
      <c r="C65" s="212" t="s">
        <v>1796</v>
      </c>
      <c r="D65" s="213">
        <v>1882.83</v>
      </c>
    </row>
    <row r="66" spans="1:4" ht="12.75">
      <c r="A66" s="212" t="s">
        <v>1704</v>
      </c>
      <c r="B66" s="212" t="s">
        <v>1581</v>
      </c>
      <c r="C66" s="212" t="s">
        <v>1797</v>
      </c>
      <c r="D66" s="213">
        <v>7772.82</v>
      </c>
    </row>
    <row r="67" spans="1:4" ht="12.75">
      <c r="A67" s="222" t="s">
        <v>54</v>
      </c>
      <c r="B67" s="222" t="s">
        <v>1584</v>
      </c>
      <c r="C67" s="222" t="s">
        <v>1798</v>
      </c>
      <c r="D67" s="213">
        <v>3870</v>
      </c>
    </row>
    <row r="68" spans="1:4" ht="12.75">
      <c r="A68" s="222" t="s">
        <v>620</v>
      </c>
      <c r="B68" s="222" t="s">
        <v>1584</v>
      </c>
      <c r="C68" s="222" t="s">
        <v>1799</v>
      </c>
      <c r="D68" s="213">
        <v>1286.6</v>
      </c>
    </row>
    <row r="69" spans="1:4" ht="12.75">
      <c r="A69" s="212" t="s">
        <v>1800</v>
      </c>
      <c r="B69" s="212" t="s">
        <v>1585</v>
      </c>
      <c r="C69" s="212" t="s">
        <v>1311</v>
      </c>
      <c r="D69" s="213">
        <v>1266</v>
      </c>
    </row>
    <row r="70" spans="1:4" ht="12.75">
      <c r="A70" s="212" t="s">
        <v>1801</v>
      </c>
      <c r="B70" s="212" t="s">
        <v>1586</v>
      </c>
      <c r="C70" s="212" t="s">
        <v>1802</v>
      </c>
      <c r="D70" s="213">
        <v>266.49</v>
      </c>
    </row>
    <row r="71" spans="1:4" ht="12.75">
      <c r="A71" s="209" t="s">
        <v>1713</v>
      </c>
      <c r="B71" s="210"/>
      <c r="C71" s="210"/>
      <c r="D71" s="211">
        <v>141520.92</v>
      </c>
    </row>
    <row r="72" spans="1:4" ht="12.75">
      <c r="A72" s="209" t="s">
        <v>1714</v>
      </c>
      <c r="B72" s="210"/>
      <c r="C72" s="210"/>
      <c r="D72" s="211">
        <v>59737.94</v>
      </c>
    </row>
    <row r="73" spans="1:4" ht="12.75">
      <c r="A73" s="209" t="s">
        <v>1715</v>
      </c>
      <c r="B73" s="210"/>
      <c r="C73" s="210"/>
      <c r="D73" s="211">
        <f>SUM(D74:D88)</f>
        <v>8203.84</v>
      </c>
    </row>
    <row r="74" spans="1:4" ht="12.75">
      <c r="A74" s="212" t="s">
        <v>6</v>
      </c>
      <c r="B74" s="212" t="s">
        <v>1577</v>
      </c>
      <c r="C74" s="212" t="s">
        <v>1803</v>
      </c>
      <c r="D74" s="213">
        <v>711.82</v>
      </c>
    </row>
    <row r="75" spans="1:4" ht="12.75">
      <c r="A75" s="222" t="s">
        <v>1804</v>
      </c>
      <c r="B75" s="212" t="s">
        <v>1578</v>
      </c>
      <c r="C75" s="212" t="s">
        <v>1500</v>
      </c>
      <c r="D75" s="213">
        <v>667.5</v>
      </c>
    </row>
    <row r="76" spans="1:4" ht="12.75">
      <c r="A76" s="212" t="s">
        <v>1480</v>
      </c>
      <c r="B76" s="212" t="s">
        <v>1578</v>
      </c>
      <c r="C76" s="212" t="s">
        <v>1805</v>
      </c>
      <c r="D76" s="213">
        <v>72</v>
      </c>
    </row>
    <row r="77" spans="1:4" ht="12.75">
      <c r="A77" s="212" t="s">
        <v>1232</v>
      </c>
      <c r="B77" s="212" t="s">
        <v>1581</v>
      </c>
      <c r="C77" s="212" t="s">
        <v>1806</v>
      </c>
      <c r="D77" s="213">
        <v>703</v>
      </c>
    </row>
    <row r="78" spans="1:4" ht="25.5">
      <c r="A78" s="222" t="s">
        <v>1807</v>
      </c>
      <c r="B78" s="212" t="s">
        <v>1582</v>
      </c>
      <c r="C78" s="222" t="s">
        <v>1808</v>
      </c>
      <c r="D78" s="227">
        <v>806.32</v>
      </c>
    </row>
    <row r="79" spans="1:4" ht="12.75">
      <c r="A79" s="212" t="s">
        <v>270</v>
      </c>
      <c r="B79" s="212" t="s">
        <v>1582</v>
      </c>
      <c r="C79" s="212" t="s">
        <v>1058</v>
      </c>
      <c r="D79" s="227">
        <v>985.9</v>
      </c>
    </row>
    <row r="80" spans="1:4" ht="12.75">
      <c r="A80" s="212" t="s">
        <v>313</v>
      </c>
      <c r="B80" s="212" t="s">
        <v>1583</v>
      </c>
      <c r="C80" s="212" t="s">
        <v>1809</v>
      </c>
      <c r="D80" s="213">
        <v>488.2</v>
      </c>
    </row>
    <row r="81" spans="1:4" ht="12.75">
      <c r="A81" s="212" t="s">
        <v>1258</v>
      </c>
      <c r="B81" s="212" t="s">
        <v>1583</v>
      </c>
      <c r="C81" s="222" t="s">
        <v>1810</v>
      </c>
      <c r="D81" s="213">
        <v>1008.4</v>
      </c>
    </row>
    <row r="82" spans="1:4" ht="51">
      <c r="A82" s="222" t="s">
        <v>1811</v>
      </c>
      <c r="B82" s="222" t="s">
        <v>1584</v>
      </c>
      <c r="C82" s="222" t="s">
        <v>1808</v>
      </c>
      <c r="D82" s="213">
        <v>621.47</v>
      </c>
    </row>
    <row r="83" spans="1:4" ht="12.75">
      <c r="A83" s="212" t="s">
        <v>1812</v>
      </c>
      <c r="B83" s="212" t="s">
        <v>1585</v>
      </c>
      <c r="C83" s="212" t="s">
        <v>110</v>
      </c>
      <c r="D83" s="213">
        <v>879.92</v>
      </c>
    </row>
    <row r="84" spans="1:4" ht="12.75">
      <c r="A84" s="222" t="s">
        <v>206</v>
      </c>
      <c r="B84" s="222" t="s">
        <v>1587</v>
      </c>
      <c r="C84" s="222" t="s">
        <v>207</v>
      </c>
      <c r="D84" s="213">
        <v>278.3</v>
      </c>
    </row>
    <row r="85" spans="1:4" ht="12.75">
      <c r="A85" s="222" t="s">
        <v>801</v>
      </c>
      <c r="B85" s="222" t="s">
        <v>1587</v>
      </c>
      <c r="C85" s="222" t="s">
        <v>1500</v>
      </c>
      <c r="D85" s="213">
        <v>68.5</v>
      </c>
    </row>
    <row r="86" spans="1:4" ht="12.75">
      <c r="A86" s="212" t="s">
        <v>2003</v>
      </c>
      <c r="B86" s="212" t="s">
        <v>1588</v>
      </c>
      <c r="C86" s="212" t="s">
        <v>1500</v>
      </c>
      <c r="D86" s="213">
        <v>85.5</v>
      </c>
    </row>
    <row r="87" spans="1:4" ht="12.75">
      <c r="A87" s="212" t="s">
        <v>1899</v>
      </c>
      <c r="B87" s="212" t="s">
        <v>1588</v>
      </c>
      <c r="C87" s="212" t="s">
        <v>1058</v>
      </c>
      <c r="D87" s="213">
        <v>322</v>
      </c>
    </row>
    <row r="88" spans="1:4" ht="12.75">
      <c r="A88" s="212" t="s">
        <v>1958</v>
      </c>
      <c r="B88" s="212" t="s">
        <v>1588</v>
      </c>
      <c r="C88" s="212" t="s">
        <v>1960</v>
      </c>
      <c r="D88" s="213">
        <v>505.01</v>
      </c>
    </row>
    <row r="89" spans="1:4" ht="12.75">
      <c r="A89" s="228" t="s">
        <v>1716</v>
      </c>
      <c r="B89" s="210"/>
      <c r="C89" s="210"/>
      <c r="D89" s="229">
        <f>SUM(D90)</f>
        <v>710.12</v>
      </c>
    </row>
    <row r="90" spans="1:4" ht="12.75">
      <c r="A90" s="222" t="s">
        <v>55</v>
      </c>
      <c r="B90" s="222" t="s">
        <v>1584</v>
      </c>
      <c r="C90" s="222" t="s">
        <v>1813</v>
      </c>
      <c r="D90" s="213">
        <v>710.12</v>
      </c>
    </row>
    <row r="91" spans="1:4" ht="12.75">
      <c r="A91" s="209" t="s">
        <v>1717</v>
      </c>
      <c r="B91" s="210"/>
      <c r="C91" s="210"/>
      <c r="D91" s="211">
        <f>D92</f>
        <v>212.16</v>
      </c>
    </row>
    <row r="92" spans="1:4" ht="12.75">
      <c r="A92" s="212" t="s">
        <v>2</v>
      </c>
      <c r="B92" s="212" t="s">
        <v>1579</v>
      </c>
      <c r="C92" s="212" t="s">
        <v>1495</v>
      </c>
      <c r="D92" s="213">
        <v>212.16</v>
      </c>
    </row>
    <row r="93" spans="1:4" ht="12.75">
      <c r="A93" s="209" t="s">
        <v>1595</v>
      </c>
      <c r="B93" s="210"/>
      <c r="C93" s="210"/>
      <c r="D93" s="211">
        <f>SUM(D94:D104)</f>
        <v>30867.649999999998</v>
      </c>
    </row>
    <row r="94" spans="1:4" ht="25.5">
      <c r="A94" s="212" t="s">
        <v>9</v>
      </c>
      <c r="B94" s="212" t="s">
        <v>1578</v>
      </c>
      <c r="C94" s="212" t="s">
        <v>1814</v>
      </c>
      <c r="D94" s="213">
        <v>7395.92</v>
      </c>
    </row>
    <row r="95" spans="1:4" ht="12.75">
      <c r="A95" s="222" t="s">
        <v>5</v>
      </c>
      <c r="B95" s="222" t="s">
        <v>1577</v>
      </c>
      <c r="C95" s="222" t="s">
        <v>1815</v>
      </c>
      <c r="D95" s="213">
        <v>165.07</v>
      </c>
    </row>
    <row r="96" spans="1:4" ht="12.75">
      <c r="A96" s="212" t="s">
        <v>15</v>
      </c>
      <c r="B96" s="212" t="s">
        <v>1579</v>
      </c>
      <c r="C96" s="212" t="s">
        <v>1816</v>
      </c>
      <c r="D96" s="213">
        <v>340.15</v>
      </c>
    </row>
    <row r="97" spans="1:4" ht="12.75">
      <c r="A97" s="212" t="s">
        <v>1703</v>
      </c>
      <c r="B97" s="212" t="s">
        <v>1581</v>
      </c>
      <c r="C97" s="212" t="s">
        <v>1817</v>
      </c>
      <c r="D97" s="213">
        <v>2485.77</v>
      </c>
    </row>
    <row r="98" spans="1:4" ht="12.75">
      <c r="A98" s="212" t="s">
        <v>1253</v>
      </c>
      <c r="B98" s="212" t="s">
        <v>1582</v>
      </c>
      <c r="C98" s="212" t="s">
        <v>1818</v>
      </c>
      <c r="D98" s="213">
        <v>492.1</v>
      </c>
    </row>
    <row r="99" spans="1:4" ht="12.75">
      <c r="A99" s="212" t="s">
        <v>312</v>
      </c>
      <c r="B99" s="212" t="s">
        <v>1583</v>
      </c>
      <c r="C99" s="212" t="s">
        <v>1819</v>
      </c>
      <c r="D99" s="213">
        <v>315.74</v>
      </c>
    </row>
    <row r="100" spans="1:4" ht="12.75">
      <c r="A100" s="212" t="s">
        <v>1820</v>
      </c>
      <c r="B100" s="212" t="s">
        <v>1585</v>
      </c>
      <c r="C100" s="212" t="s">
        <v>1821</v>
      </c>
      <c r="D100" s="213">
        <v>4454</v>
      </c>
    </row>
    <row r="101" spans="1:4" ht="12.75">
      <c r="A101" s="212" t="s">
        <v>1822</v>
      </c>
      <c r="B101" s="212" t="s">
        <v>1586</v>
      </c>
      <c r="C101" s="212" t="s">
        <v>1823</v>
      </c>
      <c r="D101" s="213">
        <v>2891</v>
      </c>
    </row>
    <row r="102" spans="1:4" ht="12.75">
      <c r="A102" s="212" t="s">
        <v>1824</v>
      </c>
      <c r="B102" s="212" t="s">
        <v>1586</v>
      </c>
      <c r="C102" s="212" t="s">
        <v>1825</v>
      </c>
      <c r="D102" s="213">
        <v>6547.53</v>
      </c>
    </row>
    <row r="103" spans="1:4" ht="12.75">
      <c r="A103" s="222" t="s">
        <v>1826</v>
      </c>
      <c r="B103" s="222" t="s">
        <v>1587</v>
      </c>
      <c r="C103" s="222" t="s">
        <v>1827</v>
      </c>
      <c r="D103" s="213">
        <v>226.37</v>
      </c>
    </row>
    <row r="104" spans="1:4" ht="38.25">
      <c r="A104" s="212" t="s">
        <v>1828</v>
      </c>
      <c r="B104" s="212" t="s">
        <v>1588</v>
      </c>
      <c r="C104" s="212" t="s">
        <v>1829</v>
      </c>
      <c r="D104" s="213">
        <v>5554</v>
      </c>
    </row>
    <row r="105" spans="1:4" ht="12.75">
      <c r="A105" s="210" t="s">
        <v>1718</v>
      </c>
      <c r="B105" s="210"/>
      <c r="C105" s="210"/>
      <c r="D105" s="211">
        <f>SUM(D106:D111)</f>
        <v>8521.38</v>
      </c>
    </row>
    <row r="106" spans="1:4" ht="25.5">
      <c r="A106" s="222" t="s">
        <v>1830</v>
      </c>
      <c r="B106" s="222" t="s">
        <v>1577</v>
      </c>
      <c r="C106" s="222" t="s">
        <v>1831</v>
      </c>
      <c r="D106" s="212">
        <v>33.47</v>
      </c>
    </row>
    <row r="107" spans="1:4" ht="12.75">
      <c r="A107" s="222" t="s">
        <v>2</v>
      </c>
      <c r="B107" s="222" t="s">
        <v>1577</v>
      </c>
      <c r="C107" s="222" t="s">
        <v>1897</v>
      </c>
      <c r="D107" s="213">
        <v>1755.72</v>
      </c>
    </row>
    <row r="108" spans="1:4" ht="12.75">
      <c r="A108" s="212" t="s">
        <v>12</v>
      </c>
      <c r="B108" s="212" t="s">
        <v>1579</v>
      </c>
      <c r="C108" s="212" t="s">
        <v>1832</v>
      </c>
      <c r="D108" s="213">
        <v>2383.65</v>
      </c>
    </row>
    <row r="109" spans="1:4" ht="12.75">
      <c r="A109" s="212" t="s">
        <v>13</v>
      </c>
      <c r="B109" s="212" t="s">
        <v>1579</v>
      </c>
      <c r="C109" s="212" t="s">
        <v>1833</v>
      </c>
      <c r="D109" s="213">
        <v>2560.72</v>
      </c>
    </row>
    <row r="110" spans="1:4" ht="12.75">
      <c r="A110" s="222" t="s">
        <v>2</v>
      </c>
      <c r="B110" s="222" t="s">
        <v>1581</v>
      </c>
      <c r="C110" s="222" t="s">
        <v>1834</v>
      </c>
      <c r="D110" s="213">
        <v>1653.42</v>
      </c>
    </row>
    <row r="111" spans="1:4" ht="12.75">
      <c r="A111" s="222" t="s">
        <v>2</v>
      </c>
      <c r="B111" s="222" t="s">
        <v>1581</v>
      </c>
      <c r="C111" s="222" t="s">
        <v>1835</v>
      </c>
      <c r="D111" s="212">
        <v>134.4</v>
      </c>
    </row>
    <row r="112" spans="1:4" ht="12.75">
      <c r="A112" s="228" t="s">
        <v>0</v>
      </c>
      <c r="B112" s="210"/>
      <c r="C112" s="230"/>
      <c r="D112" s="211">
        <v>4091.64</v>
      </c>
    </row>
    <row r="113" spans="1:4" ht="12.75">
      <c r="A113" s="228" t="s">
        <v>1369</v>
      </c>
      <c r="B113" s="210"/>
      <c r="C113" s="231"/>
      <c r="D113" s="229">
        <v>3166.66</v>
      </c>
    </row>
    <row r="114" spans="1:4" ht="12.75">
      <c r="A114" s="232"/>
      <c r="B114" s="232"/>
      <c r="C114" s="233" t="s">
        <v>1836</v>
      </c>
      <c r="D114" s="234">
        <f>D20+D3</f>
        <v>549975.902</v>
      </c>
    </row>
    <row r="115" spans="1:4" ht="12.75" customHeight="1">
      <c r="A115" s="365" t="s">
        <v>59</v>
      </c>
      <c r="B115" s="365"/>
      <c r="C115" s="365"/>
      <c r="D115" s="235">
        <f>3409.7*1.57*12</f>
        <v>64238.74800000001</v>
      </c>
    </row>
    <row r="116" spans="1:4" ht="12.75" customHeight="1">
      <c r="A116" s="365" t="s">
        <v>256</v>
      </c>
      <c r="B116" s="365"/>
      <c r="C116" s="365"/>
      <c r="D116" s="235">
        <v>85974.17</v>
      </c>
    </row>
    <row r="117" spans="1:4" ht="12.75" customHeight="1">
      <c r="A117" s="359" t="s">
        <v>659</v>
      </c>
      <c r="B117" s="359"/>
      <c r="C117" s="359"/>
      <c r="D117" s="236">
        <f>D114+D116</f>
        <v>635950.072</v>
      </c>
    </row>
    <row r="118" spans="1:4" ht="12.75" customHeight="1">
      <c r="A118" s="361" t="s">
        <v>258</v>
      </c>
      <c r="B118" s="361"/>
      <c r="C118" s="361"/>
      <c r="D118" s="237">
        <v>728317.26</v>
      </c>
    </row>
    <row r="119" spans="1:4" ht="12.75" customHeight="1">
      <c r="A119" s="361" t="s">
        <v>259</v>
      </c>
      <c r="B119" s="361"/>
      <c r="C119" s="361"/>
      <c r="D119" s="237">
        <v>106383.42</v>
      </c>
    </row>
    <row r="120" spans="1:4" ht="12.75" customHeight="1">
      <c r="A120" s="361" t="s">
        <v>1516</v>
      </c>
      <c r="B120" s="361"/>
      <c r="C120" s="361"/>
      <c r="D120" s="238">
        <v>2282804.27</v>
      </c>
    </row>
    <row r="121" spans="1:4" ht="12.75" customHeight="1">
      <c r="A121" s="361" t="s">
        <v>1517</v>
      </c>
      <c r="B121" s="361"/>
      <c r="C121" s="361"/>
      <c r="D121" s="238">
        <v>1854922.23</v>
      </c>
    </row>
    <row r="122" spans="1:4" ht="12.75" customHeight="1">
      <c r="A122" s="359" t="s">
        <v>1518</v>
      </c>
      <c r="B122" s="359"/>
      <c r="C122" s="359"/>
      <c r="D122" s="239">
        <f>1146384.27+D117</f>
        <v>1782334.3420000002</v>
      </c>
    </row>
    <row r="123" spans="1:4" ht="12.75" customHeight="1">
      <c r="A123" s="361" t="s">
        <v>1519</v>
      </c>
      <c r="B123" s="361"/>
      <c r="C123" s="361"/>
      <c r="D123" s="238">
        <v>333058.2</v>
      </c>
    </row>
    <row r="124" spans="1:4" ht="12.75" customHeight="1">
      <c r="A124" s="361" t="s">
        <v>733</v>
      </c>
      <c r="B124" s="361"/>
      <c r="C124" s="361"/>
      <c r="D124" s="238">
        <v>270643.6</v>
      </c>
    </row>
    <row r="125" spans="1:4" ht="12.75" customHeight="1">
      <c r="A125" s="359" t="s">
        <v>734</v>
      </c>
      <c r="B125" s="359"/>
      <c r="C125" s="359"/>
      <c r="D125" s="239">
        <v>0</v>
      </c>
    </row>
    <row r="126" spans="1:4" ht="12.75" customHeight="1">
      <c r="A126" s="361" t="s">
        <v>260</v>
      </c>
      <c r="B126" s="361"/>
      <c r="C126" s="361"/>
      <c r="D126" s="237">
        <v>643801.68</v>
      </c>
    </row>
    <row r="127" spans="1:4" ht="12.75" customHeight="1">
      <c r="A127" s="361" t="s">
        <v>735</v>
      </c>
      <c r="B127" s="361"/>
      <c r="C127" s="361"/>
      <c r="D127" s="237">
        <v>94038.45</v>
      </c>
    </row>
    <row r="128" spans="1:4" ht="12.75" customHeight="1">
      <c r="A128" s="359" t="s">
        <v>736</v>
      </c>
      <c r="B128" s="359"/>
      <c r="C128" s="359"/>
      <c r="D128" s="236">
        <v>0</v>
      </c>
    </row>
    <row r="129" spans="1:4" ht="30" customHeight="1">
      <c r="A129" s="360" t="s">
        <v>737</v>
      </c>
      <c r="B129" s="360"/>
      <c r="C129" s="360"/>
      <c r="D129" s="240">
        <f>D120-D122</f>
        <v>500469.92799999984</v>
      </c>
    </row>
    <row r="130" spans="1:4" ht="17.25" customHeight="1">
      <c r="A130" s="360" t="s">
        <v>2272</v>
      </c>
      <c r="B130" s="360"/>
      <c r="C130" s="360"/>
      <c r="D130" s="240">
        <f>D123-D125</f>
        <v>333058.2</v>
      </c>
    </row>
    <row r="131" spans="1:4" ht="33" customHeight="1">
      <c r="A131" s="360" t="s">
        <v>739</v>
      </c>
      <c r="B131" s="360"/>
      <c r="C131" s="360"/>
      <c r="D131" s="240">
        <f>D121-D122</f>
        <v>72587.8879999998</v>
      </c>
    </row>
    <row r="132" spans="1:4" s="246" customFormat="1" ht="12.75" customHeight="1">
      <c r="A132" s="244"/>
      <c r="B132" s="244"/>
      <c r="C132" s="244"/>
      <c r="D132" s="245"/>
    </row>
    <row r="133" spans="1:4" s="246" customFormat="1" ht="12.75" customHeight="1">
      <c r="A133" s="247"/>
      <c r="B133" s="247"/>
      <c r="C133" s="247"/>
      <c r="D133" s="245"/>
    </row>
    <row r="134" spans="1:4" s="246" customFormat="1" ht="12.75" customHeight="1">
      <c r="A134" s="247"/>
      <c r="B134" s="247"/>
      <c r="C134" s="247"/>
      <c r="D134" s="245"/>
    </row>
    <row r="135" spans="1:4" s="246" customFormat="1" ht="12.75" customHeight="1">
      <c r="A135" s="247"/>
      <c r="B135" s="247"/>
      <c r="C135" s="247"/>
      <c r="D135" s="245"/>
    </row>
    <row r="136" spans="1:4" ht="20.25">
      <c r="A136" s="254" t="s">
        <v>1994</v>
      </c>
      <c r="B136" s="254"/>
      <c r="C136" s="254"/>
      <c r="D136" s="241"/>
    </row>
    <row r="137" spans="1:4" ht="20.25">
      <c r="A137" s="350" t="s">
        <v>357</v>
      </c>
      <c r="B137" s="350"/>
      <c r="C137" s="350"/>
      <c r="D137" s="241"/>
    </row>
    <row r="138" spans="1:4" ht="15.75">
      <c r="A138" s="243" t="s">
        <v>1995</v>
      </c>
      <c r="B138" s="243"/>
      <c r="C138" s="243"/>
      <c r="D138" s="251">
        <v>691901</v>
      </c>
    </row>
    <row r="139" spans="1:4" ht="15.75">
      <c r="A139" s="351" t="s">
        <v>1996</v>
      </c>
      <c r="B139" s="352"/>
      <c r="C139" s="353"/>
      <c r="D139" s="252">
        <f>SUM(D140:D146)</f>
        <v>245000</v>
      </c>
    </row>
    <row r="140" spans="1:4" ht="15.75">
      <c r="A140" s="342" t="s">
        <v>1997</v>
      </c>
      <c r="B140" s="342"/>
      <c r="C140" s="342"/>
      <c r="D140" s="242">
        <v>5000</v>
      </c>
    </row>
    <row r="141" spans="1:4" ht="15.75">
      <c r="A141" s="342" t="s">
        <v>1593</v>
      </c>
      <c r="B141" s="342"/>
      <c r="C141" s="342"/>
      <c r="D141" s="242">
        <v>50000</v>
      </c>
    </row>
    <row r="142" spans="1:4" ht="15.75">
      <c r="A142" s="342" t="s">
        <v>2400</v>
      </c>
      <c r="B142" s="342"/>
      <c r="C142" s="342"/>
      <c r="D142" s="242">
        <v>17000</v>
      </c>
    </row>
    <row r="143" spans="1:4" ht="15.75">
      <c r="A143" s="349" t="s">
        <v>1998</v>
      </c>
      <c r="B143" s="349"/>
      <c r="C143" s="349"/>
      <c r="D143" s="253">
        <v>120000</v>
      </c>
    </row>
    <row r="144" spans="1:4" ht="15.75">
      <c r="A144" s="349" t="s">
        <v>1999</v>
      </c>
      <c r="B144" s="349"/>
      <c r="C144" s="349"/>
      <c r="D144" s="253">
        <v>3000</v>
      </c>
    </row>
    <row r="145" spans="1:4" ht="15.75">
      <c r="A145" s="248" t="s">
        <v>1091</v>
      </c>
      <c r="B145" s="250"/>
      <c r="C145" s="250"/>
      <c r="D145" s="253">
        <v>30000</v>
      </c>
    </row>
    <row r="146" spans="1:4" ht="15.75">
      <c r="A146" s="349" t="s">
        <v>1595</v>
      </c>
      <c r="B146" s="349"/>
      <c r="C146" s="349"/>
      <c r="D146" s="253">
        <v>20000</v>
      </c>
    </row>
    <row r="147" spans="1:4" ht="15.75">
      <c r="A147" s="343" t="s">
        <v>356</v>
      </c>
      <c r="B147" s="344"/>
      <c r="C147" s="345"/>
      <c r="D147" s="249">
        <v>296689</v>
      </c>
    </row>
    <row r="150" ht="12.75">
      <c r="A150" t="s">
        <v>358</v>
      </c>
    </row>
  </sheetData>
  <sheetProtection/>
  <mergeCells count="29">
    <mergeCell ref="A122:C122"/>
    <mergeCell ref="A123:C123"/>
    <mergeCell ref="A124:C124"/>
    <mergeCell ref="A1:D1"/>
    <mergeCell ref="A3:B3"/>
    <mergeCell ref="A20:B20"/>
    <mergeCell ref="A115:C115"/>
    <mergeCell ref="A116:C116"/>
    <mergeCell ref="A117:C117"/>
    <mergeCell ref="A131:C131"/>
    <mergeCell ref="A140:C140"/>
    <mergeCell ref="A137:C137"/>
    <mergeCell ref="A118:C118"/>
    <mergeCell ref="A119:C119"/>
    <mergeCell ref="A125:C125"/>
    <mergeCell ref="A126:C126"/>
    <mergeCell ref="A127:C127"/>
    <mergeCell ref="A120:C120"/>
    <mergeCell ref="A121:C121"/>
    <mergeCell ref="A128:C128"/>
    <mergeCell ref="A129:C129"/>
    <mergeCell ref="A130:C130"/>
    <mergeCell ref="A146:C146"/>
    <mergeCell ref="A139:C139"/>
    <mergeCell ref="A147:C147"/>
    <mergeCell ref="A141:C141"/>
    <mergeCell ref="A142:C142"/>
    <mergeCell ref="A143:C143"/>
    <mergeCell ref="A144:C144"/>
  </mergeCells>
  <printOptions/>
  <pageMargins left="0.17" right="0.17" top="0.17" bottom="0.18" header="0.17" footer="0.1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55"/>
  <sheetViews>
    <sheetView zoomScalePageLayoutView="0" workbookViewId="0" topLeftCell="A49">
      <selection activeCell="J73" sqref="J73"/>
    </sheetView>
  </sheetViews>
  <sheetFormatPr defaultColWidth="13.421875" defaultRowHeight="12.75" outlineLevelRow="2"/>
  <cols>
    <col min="1" max="1" width="2.421875" style="1" customWidth="1"/>
    <col min="2" max="2" width="11.8515625" style="1" customWidth="1"/>
    <col min="3" max="3" width="14.7109375" style="1" customWidth="1"/>
    <col min="4" max="4" width="73.1406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6.5" customHeight="1" thickBot="1">
      <c r="A1" s="258" t="s">
        <v>2220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E4+E6+E8+E12+E17</f>
        <v>435579.18000000005</v>
      </c>
    </row>
    <row r="4" spans="1:5" ht="14.25" customHeight="1" outlineLevel="1">
      <c r="A4" s="255" t="s">
        <v>1589</v>
      </c>
      <c r="B4" s="256"/>
      <c r="C4" s="256"/>
      <c r="D4" s="257"/>
      <c r="E4" s="105">
        <f>SUM(E5:E5)</f>
        <v>48591.58</v>
      </c>
    </row>
    <row r="5" spans="1:6" ht="15" outlineLevel="2">
      <c r="A5" s="81"/>
      <c r="B5" s="84" t="s">
        <v>198</v>
      </c>
      <c r="C5" s="84" t="s">
        <v>1578</v>
      </c>
      <c r="D5" s="84" t="s">
        <v>199</v>
      </c>
      <c r="E5" s="106">
        <v>48591.58</v>
      </c>
      <c r="F5" s="14"/>
    </row>
    <row r="6" spans="1:5" ht="14.25" customHeight="1" outlineLevel="1">
      <c r="A6" s="255" t="s">
        <v>1591</v>
      </c>
      <c r="B6" s="256"/>
      <c r="C6" s="256"/>
      <c r="D6" s="257"/>
      <c r="E6" s="105">
        <f>SUM(E7:E7)</f>
        <v>11988.39</v>
      </c>
    </row>
    <row r="7" spans="1:6" ht="15" outlineLevel="2">
      <c r="A7" s="81"/>
      <c r="B7" s="84" t="s">
        <v>1501</v>
      </c>
      <c r="C7" s="84" t="s">
        <v>1579</v>
      </c>
      <c r="D7" s="84" t="s">
        <v>1502</v>
      </c>
      <c r="E7" s="106">
        <v>11988.39</v>
      </c>
      <c r="F7" s="14"/>
    </row>
    <row r="8" spans="1:5" ht="13.5" customHeight="1" outlineLevel="1">
      <c r="A8" s="255" t="s">
        <v>1593</v>
      </c>
      <c r="B8" s="256"/>
      <c r="C8" s="256"/>
      <c r="D8" s="257"/>
      <c r="E8" s="105">
        <f>SUM(E9:E11)</f>
        <v>304665.46</v>
      </c>
    </row>
    <row r="9" spans="1:6" ht="15" outlineLevel="2">
      <c r="A9" s="81"/>
      <c r="B9" s="83" t="s">
        <v>1467</v>
      </c>
      <c r="C9" s="83" t="s">
        <v>1578</v>
      </c>
      <c r="D9" s="83" t="s">
        <v>2134</v>
      </c>
      <c r="E9" s="106">
        <v>92548.84</v>
      </c>
      <c r="F9" s="14"/>
    </row>
    <row r="10" spans="1:6" ht="15" outlineLevel="2">
      <c r="A10" s="81"/>
      <c r="B10" s="83" t="s">
        <v>2133</v>
      </c>
      <c r="C10" s="83" t="s">
        <v>1579</v>
      </c>
      <c r="D10" s="83" t="s">
        <v>2134</v>
      </c>
      <c r="E10" s="106">
        <v>139263.48</v>
      </c>
      <c r="F10" s="14"/>
    </row>
    <row r="11" spans="1:6" ht="15" outlineLevel="2">
      <c r="A11" s="81"/>
      <c r="B11" s="84" t="s">
        <v>1095</v>
      </c>
      <c r="C11" s="84" t="s">
        <v>1582</v>
      </c>
      <c r="D11" s="84" t="s">
        <v>1096</v>
      </c>
      <c r="E11" s="106">
        <v>72853.14</v>
      </c>
      <c r="F11" s="14"/>
    </row>
    <row r="12" spans="1:5" ht="15" customHeight="1" outlineLevel="1">
      <c r="A12" s="255" t="s">
        <v>1594</v>
      </c>
      <c r="B12" s="256"/>
      <c r="C12" s="256"/>
      <c r="D12" s="257"/>
      <c r="E12" s="105">
        <f>SUM(E13:E16)</f>
        <v>48037.23</v>
      </c>
    </row>
    <row r="13" spans="1:6" ht="15" customHeight="1" outlineLevel="2">
      <c r="A13" s="81"/>
      <c r="B13" s="83" t="s">
        <v>1482</v>
      </c>
      <c r="C13" s="83" t="s">
        <v>1578</v>
      </c>
      <c r="D13" s="83" t="s">
        <v>1477</v>
      </c>
      <c r="E13" s="106">
        <v>10828.04</v>
      </c>
      <c r="F13" s="14"/>
    </row>
    <row r="14" spans="1:6" ht="15" customHeight="1" outlineLevel="2">
      <c r="A14" s="81"/>
      <c r="B14" s="83" t="s">
        <v>423</v>
      </c>
      <c r="C14" s="83" t="s">
        <v>1579</v>
      </c>
      <c r="D14" s="83" t="s">
        <v>424</v>
      </c>
      <c r="E14" s="106">
        <v>9312.19</v>
      </c>
      <c r="F14" s="14"/>
    </row>
    <row r="15" spans="1:6" ht="15" customHeight="1" outlineLevel="2">
      <c r="A15" s="81"/>
      <c r="B15" s="83" t="s">
        <v>1138</v>
      </c>
      <c r="C15" s="83" t="s">
        <v>1582</v>
      </c>
      <c r="D15" s="83" t="s">
        <v>1137</v>
      </c>
      <c r="E15" s="106">
        <v>21348</v>
      </c>
      <c r="F15" s="14"/>
    </row>
    <row r="16" spans="1:6" ht="15" customHeight="1" outlineLevel="2">
      <c r="A16" s="81"/>
      <c r="B16" s="84" t="s">
        <v>242</v>
      </c>
      <c r="C16" s="84" t="s">
        <v>1585</v>
      </c>
      <c r="D16" s="84" t="s">
        <v>1906</v>
      </c>
      <c r="E16" s="106">
        <v>6549</v>
      </c>
      <c r="F16" s="14"/>
    </row>
    <row r="17" spans="1:5" ht="13.5" customHeight="1" outlineLevel="1">
      <c r="A17" s="255" t="s">
        <v>1595</v>
      </c>
      <c r="B17" s="256"/>
      <c r="C17" s="256"/>
      <c r="D17" s="257"/>
      <c r="E17" s="105">
        <f>SUM(E18:E19)</f>
        <v>22296.52</v>
      </c>
    </row>
    <row r="18" spans="1:6" ht="15" outlineLevel="2">
      <c r="A18" s="81"/>
      <c r="B18" s="83" t="s">
        <v>470</v>
      </c>
      <c r="C18" s="83" t="s">
        <v>1578</v>
      </c>
      <c r="D18" s="83" t="s">
        <v>471</v>
      </c>
      <c r="E18" s="106">
        <v>14902</v>
      </c>
      <c r="F18" s="14"/>
    </row>
    <row r="19" spans="1:6" ht="15" outlineLevel="2">
      <c r="A19" s="81"/>
      <c r="B19" s="84" t="s">
        <v>1053</v>
      </c>
      <c r="C19" s="84" t="s">
        <v>1582</v>
      </c>
      <c r="D19" s="84" t="s">
        <v>1052</v>
      </c>
      <c r="E19" s="106">
        <v>7394.52</v>
      </c>
      <c r="F19" s="14"/>
    </row>
    <row r="20" spans="1:5" ht="13.5" customHeight="1">
      <c r="A20" s="91"/>
      <c r="B20" s="308"/>
      <c r="C20" s="308"/>
      <c r="D20" s="169" t="s">
        <v>1600</v>
      </c>
      <c r="E20" s="130">
        <f>E21+E29+E43+E56+E62+E68+E74+E87+E88+E106+E108+E125+E130+E132+E133</f>
        <v>658274.4400000001</v>
      </c>
    </row>
    <row r="21" spans="1:5" ht="16.5" customHeight="1" outlineLevel="1">
      <c r="A21" s="255" t="s">
        <v>1576</v>
      </c>
      <c r="B21" s="256"/>
      <c r="C21" s="256"/>
      <c r="D21" s="257"/>
      <c r="E21" s="105">
        <f>SUM(E22:E28)</f>
        <v>49825.93</v>
      </c>
    </row>
    <row r="22" spans="1:6" ht="15" customHeight="1" outlineLevel="2">
      <c r="A22" s="42"/>
      <c r="B22" s="83" t="s">
        <v>885</v>
      </c>
      <c r="C22" s="83" t="s">
        <v>1578</v>
      </c>
      <c r="D22" s="83" t="s">
        <v>2428</v>
      </c>
      <c r="E22" s="106">
        <v>2616.04</v>
      </c>
      <c r="F22" s="14"/>
    </row>
    <row r="23" spans="1:6" ht="13.5" customHeight="1" outlineLevel="2">
      <c r="A23" s="42"/>
      <c r="B23" s="83" t="s">
        <v>2</v>
      </c>
      <c r="C23" s="83" t="s">
        <v>1580</v>
      </c>
      <c r="D23" s="83" t="s">
        <v>2277</v>
      </c>
      <c r="E23" s="106">
        <v>184.97</v>
      </c>
      <c r="F23" s="14"/>
    </row>
    <row r="24" spans="1:6" ht="15" outlineLevel="2">
      <c r="A24" s="42"/>
      <c r="B24" s="83" t="s">
        <v>1033</v>
      </c>
      <c r="C24" s="83" t="s">
        <v>1582</v>
      </c>
      <c r="D24" s="83" t="s">
        <v>509</v>
      </c>
      <c r="E24" s="106">
        <v>673.64</v>
      </c>
      <c r="F24" s="14"/>
    </row>
    <row r="25" spans="1:6" ht="15" outlineLevel="2">
      <c r="A25" s="42"/>
      <c r="B25" s="83" t="s">
        <v>1033</v>
      </c>
      <c r="C25" s="83" t="s">
        <v>1583</v>
      </c>
      <c r="D25" s="83" t="s">
        <v>509</v>
      </c>
      <c r="E25" s="106">
        <v>4307.68</v>
      </c>
      <c r="F25" s="14"/>
    </row>
    <row r="26" spans="1:6" ht="15" outlineLevel="2">
      <c r="A26" s="42"/>
      <c r="B26" s="83" t="s">
        <v>2</v>
      </c>
      <c r="C26" s="83" t="s">
        <v>1583</v>
      </c>
      <c r="D26" s="83" t="s">
        <v>855</v>
      </c>
      <c r="E26" s="106">
        <v>320.6</v>
      </c>
      <c r="F26" s="14"/>
    </row>
    <row r="27" spans="1:6" ht="15" outlineLevel="2">
      <c r="A27" s="42"/>
      <c r="B27" s="83" t="s">
        <v>1545</v>
      </c>
      <c r="C27" s="83" t="s">
        <v>1585</v>
      </c>
      <c r="D27" s="83" t="s">
        <v>2396</v>
      </c>
      <c r="E27" s="106">
        <v>38576</v>
      </c>
      <c r="F27" s="14"/>
    </row>
    <row r="28" spans="1:6" ht="15" outlineLevel="2">
      <c r="A28" s="42"/>
      <c r="B28" s="83" t="s">
        <v>784</v>
      </c>
      <c r="C28" s="83" t="s">
        <v>1585</v>
      </c>
      <c r="D28" s="83" t="s">
        <v>1727</v>
      </c>
      <c r="E28" s="106">
        <v>3147</v>
      </c>
      <c r="F28" s="14"/>
    </row>
    <row r="29" spans="1:5" ht="15" customHeight="1" outlineLevel="1">
      <c r="A29" s="255" t="s">
        <v>1589</v>
      </c>
      <c r="B29" s="256"/>
      <c r="C29" s="256"/>
      <c r="D29" s="257"/>
      <c r="E29" s="105">
        <f>SUM(E30:E42)</f>
        <v>92619.14</v>
      </c>
    </row>
    <row r="30" spans="1:6" ht="15" outlineLevel="2">
      <c r="A30" s="42"/>
      <c r="B30" s="82" t="s">
        <v>276</v>
      </c>
      <c r="C30" s="82" t="s">
        <v>1577</v>
      </c>
      <c r="D30" s="82" t="s">
        <v>639</v>
      </c>
      <c r="E30" s="106">
        <v>19803.4</v>
      </c>
      <c r="F30" s="14"/>
    </row>
    <row r="31" spans="1:6" ht="14.25" customHeight="1" outlineLevel="2">
      <c r="A31" s="42"/>
      <c r="B31" s="83" t="s">
        <v>2225</v>
      </c>
      <c r="C31" s="83" t="s">
        <v>1577</v>
      </c>
      <c r="D31" s="83" t="s">
        <v>638</v>
      </c>
      <c r="E31" s="106">
        <v>453.02</v>
      </c>
      <c r="F31" s="14"/>
    </row>
    <row r="32" spans="1:6" ht="16.5" customHeight="1" outlineLevel="2">
      <c r="A32" s="42"/>
      <c r="B32" s="83" t="s">
        <v>876</v>
      </c>
      <c r="C32" s="83" t="s">
        <v>1578</v>
      </c>
      <c r="D32" s="83" t="s">
        <v>664</v>
      </c>
      <c r="E32" s="106">
        <v>64.09</v>
      </c>
      <c r="F32" s="14"/>
    </row>
    <row r="33" spans="1:6" ht="15" outlineLevel="2">
      <c r="A33" s="42"/>
      <c r="B33" s="83" t="s">
        <v>2429</v>
      </c>
      <c r="C33" s="83" t="s">
        <v>1578</v>
      </c>
      <c r="D33" s="83" t="s">
        <v>665</v>
      </c>
      <c r="E33" s="106">
        <v>210.42</v>
      </c>
      <c r="F33" s="14"/>
    </row>
    <row r="34" spans="1:6" ht="13.5" customHeight="1" outlineLevel="2">
      <c r="A34" s="42"/>
      <c r="B34" s="83" t="s">
        <v>1489</v>
      </c>
      <c r="C34" s="83" t="s">
        <v>1580</v>
      </c>
      <c r="D34" s="83" t="s">
        <v>666</v>
      </c>
      <c r="E34" s="106">
        <v>10567.38</v>
      </c>
      <c r="F34" s="14"/>
    </row>
    <row r="35" spans="1:6" ht="15" outlineLevel="2">
      <c r="A35" s="42"/>
      <c r="B35" s="83" t="s">
        <v>1702</v>
      </c>
      <c r="C35" s="83" t="s">
        <v>1580</v>
      </c>
      <c r="D35" s="83" t="s">
        <v>149</v>
      </c>
      <c r="E35" s="106">
        <v>124.2</v>
      </c>
      <c r="F35" s="14"/>
    </row>
    <row r="36" spans="1:6" ht="15" outlineLevel="2">
      <c r="A36" s="42"/>
      <c r="B36" s="83" t="s">
        <v>1100</v>
      </c>
      <c r="C36" s="83" t="s">
        <v>1582</v>
      </c>
      <c r="D36" s="83" t="s">
        <v>813</v>
      </c>
      <c r="E36" s="106">
        <v>4793.2</v>
      </c>
      <c r="F36" s="14"/>
    </row>
    <row r="37" spans="1:6" ht="15" outlineLevel="2">
      <c r="A37" s="42"/>
      <c r="B37" s="83" t="s">
        <v>1256</v>
      </c>
      <c r="C37" s="83" t="s">
        <v>1583</v>
      </c>
      <c r="D37" s="83" t="s">
        <v>1323</v>
      </c>
      <c r="E37" s="106">
        <v>13051.49</v>
      </c>
      <c r="F37" s="14"/>
    </row>
    <row r="38" spans="1:6" ht="15" outlineLevel="2">
      <c r="A38" s="42"/>
      <c r="B38" s="83" t="s">
        <v>29</v>
      </c>
      <c r="C38" s="83" t="s">
        <v>1584</v>
      </c>
      <c r="D38" s="83" t="s">
        <v>729</v>
      </c>
      <c r="E38" s="106">
        <v>800.32</v>
      </c>
      <c r="F38" s="14"/>
    </row>
    <row r="39" spans="1:6" ht="15" outlineLevel="2">
      <c r="A39" s="42"/>
      <c r="B39" s="83" t="s">
        <v>56</v>
      </c>
      <c r="C39" s="83" t="s">
        <v>1584</v>
      </c>
      <c r="D39" s="83" t="s">
        <v>731</v>
      </c>
      <c r="E39" s="106">
        <v>88.62</v>
      </c>
      <c r="F39" s="14"/>
    </row>
    <row r="40" spans="1:6" ht="15" outlineLevel="2">
      <c r="A40" s="42"/>
      <c r="B40" s="83" t="s">
        <v>1550</v>
      </c>
      <c r="C40" s="83" t="s">
        <v>1585</v>
      </c>
      <c r="D40" s="83" t="s">
        <v>2071</v>
      </c>
      <c r="E40" s="106">
        <v>42442</v>
      </c>
      <c r="F40" s="14"/>
    </row>
    <row r="41" spans="1:6" ht="15" outlineLevel="2">
      <c r="A41" s="42"/>
      <c r="B41" s="83" t="s">
        <v>1072</v>
      </c>
      <c r="C41" s="83" t="s">
        <v>1588</v>
      </c>
      <c r="D41" s="83" t="s">
        <v>1073</v>
      </c>
      <c r="E41" s="106">
        <v>44</v>
      </c>
      <c r="F41" s="14"/>
    </row>
    <row r="42" spans="1:6" ht="15" outlineLevel="2">
      <c r="A42" s="42"/>
      <c r="B42" s="83" t="s">
        <v>1966</v>
      </c>
      <c r="C42" s="83" t="s">
        <v>1588</v>
      </c>
      <c r="D42" s="83" t="s">
        <v>640</v>
      </c>
      <c r="E42" s="106">
        <v>177</v>
      </c>
      <c r="F42" s="14"/>
    </row>
    <row r="43" spans="1:5" ht="14.25" customHeight="1" outlineLevel="1">
      <c r="A43" s="255" t="s">
        <v>1590</v>
      </c>
      <c r="B43" s="256"/>
      <c r="C43" s="256"/>
      <c r="D43" s="257"/>
      <c r="E43" s="105">
        <f>SUM(E44:E55)</f>
        <v>59721.92999999999</v>
      </c>
    </row>
    <row r="44" spans="1:6" ht="15" outlineLevel="2">
      <c r="A44" s="42"/>
      <c r="B44" s="87" t="s">
        <v>1701</v>
      </c>
      <c r="C44" s="83" t="s">
        <v>1580</v>
      </c>
      <c r="D44" s="83" t="s">
        <v>834</v>
      </c>
      <c r="E44" s="106">
        <v>16557.6</v>
      </c>
      <c r="F44" s="14"/>
    </row>
    <row r="45" spans="1:6" ht="15" outlineLevel="2">
      <c r="A45" s="42"/>
      <c r="B45" s="87" t="s">
        <v>836</v>
      </c>
      <c r="C45" s="83" t="s">
        <v>1580</v>
      </c>
      <c r="D45" s="83" t="s">
        <v>841</v>
      </c>
      <c r="E45" s="106">
        <v>333</v>
      </c>
      <c r="F45" s="14"/>
    </row>
    <row r="46" spans="1:6" ht="15" outlineLevel="2">
      <c r="A46" s="42"/>
      <c r="B46" s="87" t="s">
        <v>1022</v>
      </c>
      <c r="C46" s="83" t="s">
        <v>1580</v>
      </c>
      <c r="D46" s="83" t="s">
        <v>641</v>
      </c>
      <c r="E46" s="106">
        <v>1545.9</v>
      </c>
      <c r="F46" s="14"/>
    </row>
    <row r="47" spans="1:6" ht="15" outlineLevel="2">
      <c r="A47" s="42"/>
      <c r="B47" s="87" t="s">
        <v>1708</v>
      </c>
      <c r="C47" s="83" t="s">
        <v>1581</v>
      </c>
      <c r="D47" s="83" t="s">
        <v>2091</v>
      </c>
      <c r="E47" s="106">
        <v>206.98</v>
      </c>
      <c r="F47" s="14"/>
    </row>
    <row r="48" spans="1:6" ht="15" outlineLevel="2">
      <c r="A48" s="42"/>
      <c r="B48" s="87" t="s">
        <v>1249</v>
      </c>
      <c r="C48" s="83" t="s">
        <v>57</v>
      </c>
      <c r="D48" s="83" t="s">
        <v>215</v>
      </c>
      <c r="E48" s="106">
        <v>227.14</v>
      </c>
      <c r="F48" s="14"/>
    </row>
    <row r="49" spans="1:6" ht="15" outlineLevel="2">
      <c r="A49" s="42"/>
      <c r="B49" s="87" t="s">
        <v>2</v>
      </c>
      <c r="C49" s="83" t="s">
        <v>57</v>
      </c>
      <c r="D49" s="83" t="s">
        <v>939</v>
      </c>
      <c r="E49" s="106">
        <v>165.51</v>
      </c>
      <c r="F49" s="14"/>
    </row>
    <row r="50" spans="1:6" ht="15" outlineLevel="2">
      <c r="A50" s="42"/>
      <c r="B50" s="87" t="s">
        <v>2</v>
      </c>
      <c r="C50" s="83" t="s">
        <v>1583</v>
      </c>
      <c r="D50" s="83" t="s">
        <v>760</v>
      </c>
      <c r="E50" s="106">
        <v>21168</v>
      </c>
      <c r="F50" s="14"/>
    </row>
    <row r="51" spans="1:6" ht="15" outlineLevel="2">
      <c r="A51" s="42"/>
      <c r="B51" s="87" t="s">
        <v>33</v>
      </c>
      <c r="C51" s="83" t="s">
        <v>1584</v>
      </c>
      <c r="D51" s="83" t="s">
        <v>702</v>
      </c>
      <c r="E51" s="106">
        <v>1995.6</v>
      </c>
      <c r="F51" s="14"/>
    </row>
    <row r="52" spans="1:6" ht="15" customHeight="1" outlineLevel="2">
      <c r="A52" s="42"/>
      <c r="B52" s="87" t="s">
        <v>1890</v>
      </c>
      <c r="C52" s="83" t="s">
        <v>1586</v>
      </c>
      <c r="D52" s="83" t="s">
        <v>1891</v>
      </c>
      <c r="E52" s="106">
        <v>10536.07</v>
      </c>
      <c r="F52" s="14"/>
    </row>
    <row r="53" spans="1:6" ht="16.5" customHeight="1" outlineLevel="2">
      <c r="A53" s="42"/>
      <c r="B53" s="87" t="s">
        <v>2420</v>
      </c>
      <c r="C53" s="83" t="s">
        <v>1586</v>
      </c>
      <c r="D53" s="83" t="s">
        <v>2421</v>
      </c>
      <c r="E53" s="106">
        <v>1058</v>
      </c>
      <c r="F53" s="14"/>
    </row>
    <row r="54" spans="1:6" ht="30" outlineLevel="2">
      <c r="A54" s="42"/>
      <c r="B54" s="87" t="s">
        <v>190</v>
      </c>
      <c r="C54" s="83" t="s">
        <v>1586</v>
      </c>
      <c r="D54" s="83" t="s">
        <v>783</v>
      </c>
      <c r="E54" s="106">
        <v>5882.6</v>
      </c>
      <c r="F54" s="14"/>
    </row>
    <row r="55" spans="1:6" ht="15" outlineLevel="2">
      <c r="A55" s="42"/>
      <c r="B55" s="87" t="s">
        <v>1199</v>
      </c>
      <c r="C55" s="83" t="s">
        <v>1587</v>
      </c>
      <c r="D55" s="83" t="s">
        <v>1179</v>
      </c>
      <c r="E55" s="106">
        <v>45.53</v>
      </c>
      <c r="F55" s="14"/>
    </row>
    <row r="56" spans="1:5" ht="12.75" customHeight="1" outlineLevel="1">
      <c r="A56" s="255" t="s">
        <v>1591</v>
      </c>
      <c r="B56" s="256"/>
      <c r="C56" s="256"/>
      <c r="D56" s="257"/>
      <c r="E56" s="105">
        <f>SUM(E57:E61)</f>
        <v>5499.639999999999</v>
      </c>
    </row>
    <row r="57" spans="1:6" ht="15" outlineLevel="2">
      <c r="A57" s="42"/>
      <c r="B57" s="87" t="s">
        <v>128</v>
      </c>
      <c r="C57" s="83" t="s">
        <v>1578</v>
      </c>
      <c r="D57" s="83" t="s">
        <v>642</v>
      </c>
      <c r="E57" s="106"/>
      <c r="F57" s="14"/>
    </row>
    <row r="58" spans="1:6" ht="15" customHeight="1" outlineLevel="2">
      <c r="A58" s="42"/>
      <c r="B58" s="87" t="s">
        <v>879</v>
      </c>
      <c r="C58" s="83" t="s">
        <v>1579</v>
      </c>
      <c r="D58" s="83" t="s">
        <v>314</v>
      </c>
      <c r="E58" s="106">
        <v>981.21</v>
      </c>
      <c r="F58" s="14"/>
    </row>
    <row r="59" spans="1:6" ht="15" outlineLevel="2">
      <c r="A59" s="42"/>
      <c r="B59" s="87" t="s">
        <v>184</v>
      </c>
      <c r="C59" s="83" t="s">
        <v>1580</v>
      </c>
      <c r="D59" s="83" t="s">
        <v>319</v>
      </c>
      <c r="E59" s="106">
        <v>719</v>
      </c>
      <c r="F59" s="14"/>
    </row>
    <row r="60" spans="1:6" ht="15" outlineLevel="2">
      <c r="A60" s="42"/>
      <c r="B60" s="87" t="s">
        <v>1251</v>
      </c>
      <c r="C60" s="83" t="s">
        <v>1581</v>
      </c>
      <c r="D60" s="83" t="s">
        <v>450</v>
      </c>
      <c r="E60" s="106">
        <v>699.53</v>
      </c>
      <c r="F60" s="14"/>
    </row>
    <row r="61" spans="1:6" ht="16.5" customHeight="1" outlineLevel="2">
      <c r="A61" s="42"/>
      <c r="B61" s="87" t="s">
        <v>2418</v>
      </c>
      <c r="C61" s="83" t="s">
        <v>1586</v>
      </c>
      <c r="D61" s="83" t="s">
        <v>2419</v>
      </c>
      <c r="E61" s="106">
        <v>3099.9</v>
      </c>
      <c r="F61" s="14"/>
    </row>
    <row r="62" spans="1:5" ht="13.5" customHeight="1" outlineLevel="1">
      <c r="A62" s="255" t="s">
        <v>1594</v>
      </c>
      <c r="B62" s="256"/>
      <c r="C62" s="256"/>
      <c r="D62" s="257"/>
      <c r="E62" s="105">
        <f>SUM(E63:E67)</f>
        <v>37486.79</v>
      </c>
    </row>
    <row r="63" spans="1:6" ht="15" outlineLevel="2">
      <c r="A63" s="42"/>
      <c r="B63" s="87" t="s">
        <v>1501</v>
      </c>
      <c r="C63" s="83" t="s">
        <v>1579</v>
      </c>
      <c r="D63" s="83" t="s">
        <v>1502</v>
      </c>
      <c r="E63" s="106">
        <v>11988.39</v>
      </c>
      <c r="F63" s="14"/>
    </row>
    <row r="64" spans="1:6" ht="15" outlineLevel="2">
      <c r="A64" s="42"/>
      <c r="B64" s="87" t="s">
        <v>1039</v>
      </c>
      <c r="C64" s="83" t="s">
        <v>1582</v>
      </c>
      <c r="D64" s="83" t="s">
        <v>1044</v>
      </c>
      <c r="E64" s="106">
        <v>4895.4</v>
      </c>
      <c r="F64" s="14"/>
    </row>
    <row r="65" spans="1:6" ht="15" outlineLevel="2">
      <c r="A65" s="42"/>
      <c r="B65" s="87" t="s">
        <v>517</v>
      </c>
      <c r="C65" s="83" t="s">
        <v>1584</v>
      </c>
      <c r="D65" s="83" t="s">
        <v>1502</v>
      </c>
      <c r="E65" s="106">
        <v>7730</v>
      </c>
      <c r="F65" s="14"/>
    </row>
    <row r="66" spans="1:6" ht="16.5" customHeight="1" outlineLevel="2">
      <c r="A66" s="42"/>
      <c r="B66" s="87" t="s">
        <v>932</v>
      </c>
      <c r="C66" s="83" t="s">
        <v>1584</v>
      </c>
      <c r="D66" s="83" t="s">
        <v>1502</v>
      </c>
      <c r="E66" s="106">
        <v>1200</v>
      </c>
      <c r="F66" s="14"/>
    </row>
    <row r="67" spans="1:6" ht="15" outlineLevel="2">
      <c r="A67" s="42"/>
      <c r="B67" s="87" t="s">
        <v>1546</v>
      </c>
      <c r="C67" s="83" t="s">
        <v>1585</v>
      </c>
      <c r="D67" s="83" t="s">
        <v>1547</v>
      </c>
      <c r="E67" s="106">
        <v>11673</v>
      </c>
      <c r="F67" s="14"/>
    </row>
    <row r="68" spans="1:5" ht="14.25" customHeight="1" outlineLevel="1">
      <c r="A68" s="255" t="s">
        <v>1599</v>
      </c>
      <c r="B68" s="256"/>
      <c r="C68" s="256"/>
      <c r="D68" s="257"/>
      <c r="E68" s="105">
        <f>SUM(E69:E73)</f>
        <v>11621.029999999999</v>
      </c>
    </row>
    <row r="69" spans="1:6" ht="15" outlineLevel="2">
      <c r="A69" s="42"/>
      <c r="B69" s="83" t="s">
        <v>18</v>
      </c>
      <c r="C69" s="83" t="s">
        <v>1579</v>
      </c>
      <c r="D69" s="83" t="s">
        <v>1405</v>
      </c>
      <c r="E69" s="106">
        <v>7503.01</v>
      </c>
      <c r="F69" s="14"/>
    </row>
    <row r="70" spans="1:6" ht="15" outlineLevel="2">
      <c r="A70" s="42"/>
      <c r="B70" s="83" t="s">
        <v>17</v>
      </c>
      <c r="C70" s="83" t="s">
        <v>1579</v>
      </c>
      <c r="D70" s="83" t="s">
        <v>2361</v>
      </c>
      <c r="E70" s="106">
        <v>205.79</v>
      </c>
      <c r="F70" s="14"/>
    </row>
    <row r="71" spans="1:6" ht="15" outlineLevel="2">
      <c r="A71" s="42"/>
      <c r="B71" s="83" t="s">
        <v>881</v>
      </c>
      <c r="C71" s="83" t="s">
        <v>1580</v>
      </c>
      <c r="D71" s="83" t="s">
        <v>894</v>
      </c>
      <c r="E71" s="106">
        <v>141.61</v>
      </c>
      <c r="F71" s="14"/>
    </row>
    <row r="72" spans="1:6" ht="15" outlineLevel="2">
      <c r="A72" s="42"/>
      <c r="B72" s="83" t="s">
        <v>54</v>
      </c>
      <c r="C72" s="83" t="s">
        <v>1584</v>
      </c>
      <c r="D72" s="83" t="s">
        <v>2451</v>
      </c>
      <c r="E72" s="106">
        <v>2580</v>
      </c>
      <c r="F72" s="14"/>
    </row>
    <row r="73" spans="1:6" ht="15" customHeight="1" outlineLevel="2">
      <c r="A73" s="42"/>
      <c r="B73" s="83" t="s">
        <v>1335</v>
      </c>
      <c r="C73" s="83" t="s">
        <v>1586</v>
      </c>
      <c r="D73" s="83" t="s">
        <v>1336</v>
      </c>
      <c r="E73" s="106">
        <v>1190.62</v>
      </c>
      <c r="F73" s="14"/>
    </row>
    <row r="74" spans="1:5" ht="13.5" customHeight="1" outlineLevel="1">
      <c r="A74" s="255" t="s">
        <v>1713</v>
      </c>
      <c r="B74" s="256"/>
      <c r="C74" s="256"/>
      <c r="D74" s="257"/>
      <c r="E74" s="105">
        <f>SUM(E75:E86)</f>
        <v>212769.58999999997</v>
      </c>
    </row>
    <row r="75" spans="1:6" ht="15" outlineLevel="2">
      <c r="A75" s="42"/>
      <c r="B75" s="82"/>
      <c r="C75" s="82" t="s">
        <v>1577</v>
      </c>
      <c r="D75" s="82" t="s">
        <v>1496</v>
      </c>
      <c r="E75" s="106">
        <v>18046.92</v>
      </c>
      <c r="F75" s="14"/>
    </row>
    <row r="76" spans="1:6" ht="15" outlineLevel="2">
      <c r="A76" s="42"/>
      <c r="B76" s="83"/>
      <c r="C76" s="83" t="s">
        <v>1578</v>
      </c>
      <c r="D76" s="83" t="s">
        <v>1496</v>
      </c>
      <c r="E76" s="106">
        <v>18046.92</v>
      </c>
      <c r="F76" s="14"/>
    </row>
    <row r="77" spans="1:6" ht="15" outlineLevel="2">
      <c r="A77" s="42"/>
      <c r="B77" s="83"/>
      <c r="C77" s="83" t="s">
        <v>1579</v>
      </c>
      <c r="D77" s="83" t="s">
        <v>1496</v>
      </c>
      <c r="E77" s="106">
        <v>18046.92</v>
      </c>
      <c r="F77" s="14"/>
    </row>
    <row r="78" spans="1:6" ht="15" outlineLevel="2">
      <c r="A78" s="42"/>
      <c r="B78" s="83"/>
      <c r="C78" s="83" t="s">
        <v>1580</v>
      </c>
      <c r="D78" s="83" t="s">
        <v>1496</v>
      </c>
      <c r="E78" s="106">
        <v>18046.92</v>
      </c>
      <c r="F78" s="14"/>
    </row>
    <row r="79" spans="1:6" ht="15" outlineLevel="2">
      <c r="A79" s="42"/>
      <c r="B79" s="83"/>
      <c r="C79" s="83" t="s">
        <v>1581</v>
      </c>
      <c r="D79" s="83" t="s">
        <v>1496</v>
      </c>
      <c r="E79" s="106">
        <v>17288.23</v>
      </c>
      <c r="F79" s="14"/>
    </row>
    <row r="80" spans="1:6" ht="15" outlineLevel="2">
      <c r="A80" s="42"/>
      <c r="B80" s="83"/>
      <c r="C80" s="83" t="s">
        <v>1582</v>
      </c>
      <c r="D80" s="83" t="s">
        <v>1496</v>
      </c>
      <c r="E80" s="106">
        <v>17288.23</v>
      </c>
      <c r="F80" s="14"/>
    </row>
    <row r="81" spans="1:6" ht="15" outlineLevel="2">
      <c r="A81" s="42"/>
      <c r="B81" s="83"/>
      <c r="C81" s="83" t="s">
        <v>1583</v>
      </c>
      <c r="D81" s="83" t="s">
        <v>1496</v>
      </c>
      <c r="E81" s="106">
        <v>17288.23</v>
      </c>
      <c r="F81" s="14"/>
    </row>
    <row r="82" spans="1:6" ht="15" outlineLevel="2">
      <c r="A82" s="42"/>
      <c r="B82" s="83"/>
      <c r="C82" s="83" t="s">
        <v>1584</v>
      </c>
      <c r="D82" s="83" t="s">
        <v>1496</v>
      </c>
      <c r="E82" s="106">
        <v>17288.23</v>
      </c>
      <c r="F82" s="14"/>
    </row>
    <row r="83" spans="1:6" ht="15" outlineLevel="2">
      <c r="A83" s="42"/>
      <c r="B83" s="83"/>
      <c r="C83" s="83" t="s">
        <v>1585</v>
      </c>
      <c r="D83" s="83" t="s">
        <v>1496</v>
      </c>
      <c r="E83" s="106">
        <v>17288.23</v>
      </c>
      <c r="F83" s="14"/>
    </row>
    <row r="84" spans="1:6" ht="15" outlineLevel="2">
      <c r="A84" s="42"/>
      <c r="B84" s="83"/>
      <c r="C84" s="83" t="s">
        <v>1586</v>
      </c>
      <c r="D84" s="83" t="s">
        <v>1496</v>
      </c>
      <c r="E84" s="106">
        <v>18046.92</v>
      </c>
      <c r="F84" s="14"/>
    </row>
    <row r="85" spans="1:6" ht="15" outlineLevel="2">
      <c r="A85" s="42"/>
      <c r="B85" s="83"/>
      <c r="C85" s="83" t="s">
        <v>1587</v>
      </c>
      <c r="D85" s="83" t="s">
        <v>1496</v>
      </c>
      <c r="E85" s="106">
        <v>18046.92</v>
      </c>
      <c r="F85" s="14"/>
    </row>
    <row r="86" spans="1:6" ht="15" outlineLevel="2">
      <c r="A86" s="42"/>
      <c r="B86" s="89"/>
      <c r="C86" s="83" t="s">
        <v>1588</v>
      </c>
      <c r="D86" s="83" t="s">
        <v>1496</v>
      </c>
      <c r="E86" s="106">
        <v>18046.92</v>
      </c>
      <c r="F86" s="14"/>
    </row>
    <row r="87" spans="1:5" ht="14.25" customHeight="1" outlineLevel="1">
      <c r="A87" s="255" t="s">
        <v>1714</v>
      </c>
      <c r="B87" s="256"/>
      <c r="C87" s="256"/>
      <c r="D87" s="257"/>
      <c r="E87" s="105">
        <f>1.46*5098*12</f>
        <v>89316.95999999999</v>
      </c>
    </row>
    <row r="88" spans="1:5" ht="15" customHeight="1" outlineLevel="1">
      <c r="A88" s="255" t="s">
        <v>1715</v>
      </c>
      <c r="B88" s="256"/>
      <c r="C88" s="256"/>
      <c r="D88" s="257"/>
      <c r="E88" s="105">
        <f>SUM(E89:E105)</f>
        <v>6985.620000000001</v>
      </c>
    </row>
    <row r="89" spans="1:6" ht="15" outlineLevel="2">
      <c r="A89" s="42"/>
      <c r="B89" s="82" t="s">
        <v>2072</v>
      </c>
      <c r="C89" s="82" t="s">
        <v>1577</v>
      </c>
      <c r="D89" s="82" t="s">
        <v>2073</v>
      </c>
      <c r="E89" s="106">
        <v>75.5</v>
      </c>
      <c r="F89" s="14"/>
    </row>
    <row r="90" spans="1:6" ht="15" outlineLevel="2">
      <c r="A90" s="42"/>
      <c r="B90" s="83" t="s">
        <v>6</v>
      </c>
      <c r="C90" s="83" t="s">
        <v>1577</v>
      </c>
      <c r="D90" s="83" t="s">
        <v>1364</v>
      </c>
      <c r="E90" s="106">
        <v>711.82</v>
      </c>
      <c r="F90" s="14"/>
    </row>
    <row r="91" spans="1:6" ht="15" outlineLevel="2">
      <c r="A91" s="42"/>
      <c r="B91" s="83" t="s">
        <v>241</v>
      </c>
      <c r="C91" s="83" t="s">
        <v>1578</v>
      </c>
      <c r="D91" s="83" t="s">
        <v>1500</v>
      </c>
      <c r="E91" s="106">
        <v>85.19</v>
      </c>
      <c r="F91" s="14"/>
    </row>
    <row r="92" spans="1:6" ht="15" outlineLevel="2">
      <c r="A92" s="42"/>
      <c r="B92" s="83" t="s">
        <v>196</v>
      </c>
      <c r="C92" s="83" t="s">
        <v>1578</v>
      </c>
      <c r="D92" s="83" t="s">
        <v>1495</v>
      </c>
      <c r="E92" s="106">
        <v>424.32</v>
      </c>
      <c r="F92" s="14"/>
    </row>
    <row r="93" spans="1:6" ht="15" outlineLevel="2">
      <c r="A93" s="42"/>
      <c r="B93" s="83" t="s">
        <v>1267</v>
      </c>
      <c r="C93" s="83" t="s">
        <v>1578</v>
      </c>
      <c r="D93" s="83" t="s">
        <v>866</v>
      </c>
      <c r="E93" s="106">
        <v>388.47</v>
      </c>
      <c r="F93" s="14"/>
    </row>
    <row r="94" spans="1:6" ht="15" outlineLevel="2">
      <c r="A94" s="42"/>
      <c r="B94" s="83" t="s">
        <v>873</v>
      </c>
      <c r="C94" s="83" t="s">
        <v>1578</v>
      </c>
      <c r="D94" s="83" t="s">
        <v>1500</v>
      </c>
      <c r="E94" s="106">
        <v>1434.9</v>
      </c>
      <c r="F94" s="14"/>
    </row>
    <row r="95" spans="1:6" ht="15" outlineLevel="2">
      <c r="A95" s="42"/>
      <c r="B95" s="83" t="s">
        <v>1499</v>
      </c>
      <c r="C95" s="83" t="s">
        <v>1579</v>
      </c>
      <c r="D95" s="83" t="s">
        <v>1500</v>
      </c>
      <c r="E95" s="106">
        <v>65</v>
      </c>
      <c r="F95" s="14"/>
    </row>
    <row r="96" spans="1:6" ht="15" outlineLevel="2">
      <c r="A96" s="42"/>
      <c r="B96" s="83" t="s">
        <v>2132</v>
      </c>
      <c r="C96" s="83" t="s">
        <v>1579</v>
      </c>
      <c r="D96" s="83" t="s">
        <v>1500</v>
      </c>
      <c r="E96" s="106">
        <v>30.25</v>
      </c>
      <c r="F96" s="14"/>
    </row>
    <row r="97" spans="1:6" ht="15" outlineLevel="2">
      <c r="A97" s="42"/>
      <c r="B97" s="83" t="s">
        <v>2</v>
      </c>
      <c r="C97" s="83" t="s">
        <v>1579</v>
      </c>
      <c r="D97" s="83" t="s">
        <v>2274</v>
      </c>
      <c r="E97" s="106">
        <v>350.11</v>
      </c>
      <c r="F97" s="14"/>
    </row>
    <row r="98" spans="1:6" ht="15" outlineLevel="2">
      <c r="A98" s="42"/>
      <c r="B98" s="83" t="s">
        <v>270</v>
      </c>
      <c r="C98" s="83" t="s">
        <v>1582</v>
      </c>
      <c r="D98" s="83" t="s">
        <v>1058</v>
      </c>
      <c r="E98" s="106">
        <v>530.57</v>
      </c>
      <c r="F98" s="14"/>
    </row>
    <row r="99" spans="1:6" ht="30" outlineLevel="2">
      <c r="A99" s="42"/>
      <c r="B99" s="83" t="s">
        <v>851</v>
      </c>
      <c r="C99" s="83" t="s">
        <v>1582</v>
      </c>
      <c r="D99" s="83" t="s">
        <v>762</v>
      </c>
      <c r="E99" s="106">
        <v>806.32</v>
      </c>
      <c r="F99" s="14"/>
    </row>
    <row r="100" spans="1:6" ht="15" outlineLevel="2">
      <c r="A100" s="42"/>
      <c r="B100" s="83" t="s">
        <v>1637</v>
      </c>
      <c r="C100" s="83" t="s">
        <v>1585</v>
      </c>
      <c r="D100" s="83" t="s">
        <v>110</v>
      </c>
      <c r="E100" s="106">
        <v>624.43</v>
      </c>
      <c r="F100" s="14"/>
    </row>
    <row r="101" spans="1:6" ht="15" outlineLevel="2">
      <c r="A101" s="42"/>
      <c r="B101" s="83" t="s">
        <v>546</v>
      </c>
      <c r="C101" s="83" t="s">
        <v>1586</v>
      </c>
      <c r="D101" s="83" t="s">
        <v>1005</v>
      </c>
      <c r="E101" s="106">
        <v>585.23</v>
      </c>
      <c r="F101" s="14"/>
    </row>
    <row r="102" spans="1:6" ht="15" outlineLevel="2">
      <c r="A102" s="42"/>
      <c r="B102" s="83" t="s">
        <v>794</v>
      </c>
      <c r="C102" s="83" t="s">
        <v>1587</v>
      </c>
      <c r="D102" s="83" t="s">
        <v>207</v>
      </c>
      <c r="E102" s="106">
        <v>139.2</v>
      </c>
      <c r="F102" s="14"/>
    </row>
    <row r="103" spans="1:6" ht="15" outlineLevel="2">
      <c r="A103" s="42"/>
      <c r="B103" s="83" t="s">
        <v>801</v>
      </c>
      <c r="C103" s="83" t="s">
        <v>1587</v>
      </c>
      <c r="D103" s="83" t="s">
        <v>1500</v>
      </c>
      <c r="E103" s="106">
        <v>155.2</v>
      </c>
      <c r="F103" s="14"/>
    </row>
    <row r="104" spans="1:6" ht="15" outlineLevel="2">
      <c r="A104" s="42"/>
      <c r="B104" s="83" t="s">
        <v>2003</v>
      </c>
      <c r="C104" s="83" t="s">
        <v>1588</v>
      </c>
      <c r="D104" s="83" t="s">
        <v>2073</v>
      </c>
      <c r="E104" s="106">
        <v>156.8</v>
      </c>
      <c r="F104" s="14"/>
    </row>
    <row r="105" spans="1:6" ht="15" outlineLevel="2">
      <c r="A105" s="42"/>
      <c r="B105" s="83" t="s">
        <v>1958</v>
      </c>
      <c r="C105" s="83" t="s">
        <v>1588</v>
      </c>
      <c r="D105" s="83" t="s">
        <v>1960</v>
      </c>
      <c r="E105" s="106">
        <v>422.31</v>
      </c>
      <c r="F105" s="14"/>
    </row>
    <row r="106" spans="1:5" ht="12.75" customHeight="1" outlineLevel="1">
      <c r="A106" s="255" t="s">
        <v>1716</v>
      </c>
      <c r="B106" s="256"/>
      <c r="C106" s="256"/>
      <c r="D106" s="257"/>
      <c r="E106" s="105">
        <f>SUM(E107:E107)</f>
        <v>45.75</v>
      </c>
    </row>
    <row r="107" spans="1:6" ht="15" outlineLevel="2">
      <c r="A107" s="42"/>
      <c r="B107" s="82" t="s">
        <v>2</v>
      </c>
      <c r="C107" s="82" t="s">
        <v>1577</v>
      </c>
      <c r="D107" s="82" t="s">
        <v>2274</v>
      </c>
      <c r="E107" s="106">
        <v>45.75</v>
      </c>
      <c r="F107" s="14"/>
    </row>
    <row r="108" spans="1:5" ht="13.5" customHeight="1" outlineLevel="1">
      <c r="A108" s="255" t="s">
        <v>1595</v>
      </c>
      <c r="B108" s="256"/>
      <c r="C108" s="256"/>
      <c r="D108" s="257"/>
      <c r="E108" s="105">
        <f>SUM(E109:E124)</f>
        <v>72902.87000000001</v>
      </c>
    </row>
    <row r="109" spans="1:6" ht="15" outlineLevel="2">
      <c r="A109" s="42"/>
      <c r="B109" s="82" t="s">
        <v>2075</v>
      </c>
      <c r="C109" s="82" t="s">
        <v>1577</v>
      </c>
      <c r="D109" s="82" t="s">
        <v>2076</v>
      </c>
      <c r="E109" s="106">
        <v>14641.54</v>
      </c>
      <c r="F109" s="14"/>
    </row>
    <row r="110" spans="1:6" ht="15" outlineLevel="2">
      <c r="A110" s="42"/>
      <c r="B110" s="83" t="s">
        <v>5</v>
      </c>
      <c r="C110" s="83" t="s">
        <v>1577</v>
      </c>
      <c r="D110" s="83" t="s">
        <v>643</v>
      </c>
      <c r="E110" s="106">
        <v>5014.5</v>
      </c>
      <c r="F110" s="14"/>
    </row>
    <row r="111" spans="1:6" ht="13.5" customHeight="1" outlineLevel="2">
      <c r="A111" s="42"/>
      <c r="B111" s="83" t="s">
        <v>9</v>
      </c>
      <c r="C111" s="83" t="s">
        <v>1578</v>
      </c>
      <c r="D111" s="83" t="s">
        <v>671</v>
      </c>
      <c r="E111" s="106">
        <v>28312.65</v>
      </c>
      <c r="F111" s="14"/>
    </row>
    <row r="112" spans="1:6" ht="15" outlineLevel="2">
      <c r="A112" s="42"/>
      <c r="B112" s="83" t="s">
        <v>133</v>
      </c>
      <c r="C112" s="83" t="s">
        <v>1579</v>
      </c>
      <c r="D112" s="83" t="s">
        <v>2324</v>
      </c>
      <c r="E112" s="106">
        <v>279.8</v>
      </c>
      <c r="F112" s="14"/>
    </row>
    <row r="113" spans="1:6" ht="15" outlineLevel="2">
      <c r="A113" s="42"/>
      <c r="B113" s="83" t="s">
        <v>1992</v>
      </c>
      <c r="C113" s="83" t="s">
        <v>1579</v>
      </c>
      <c r="D113" s="83" t="s">
        <v>1614</v>
      </c>
      <c r="E113" s="106">
        <v>162.47</v>
      </c>
      <c r="F113" s="14"/>
    </row>
    <row r="114" spans="1:6" ht="15" outlineLevel="2">
      <c r="A114" s="42"/>
      <c r="B114" s="83" t="s">
        <v>323</v>
      </c>
      <c r="C114" s="83" t="s">
        <v>1579</v>
      </c>
      <c r="D114" s="83" t="s">
        <v>417</v>
      </c>
      <c r="E114" s="106">
        <v>84.08</v>
      </c>
      <c r="F114" s="14"/>
    </row>
    <row r="115" spans="1:6" ht="15" outlineLevel="2">
      <c r="A115" s="42"/>
      <c r="B115" s="83" t="s">
        <v>478</v>
      </c>
      <c r="C115" s="83" t="s">
        <v>1580</v>
      </c>
      <c r="D115" s="83" t="s">
        <v>1610</v>
      </c>
      <c r="E115" s="106">
        <v>276.4</v>
      </c>
      <c r="F115" s="14"/>
    </row>
    <row r="116" spans="1:6" ht="15" outlineLevel="2">
      <c r="A116" s="42"/>
      <c r="B116" s="83" t="s">
        <v>1244</v>
      </c>
      <c r="C116" s="83" t="s">
        <v>1580</v>
      </c>
      <c r="D116" s="83" t="s">
        <v>669</v>
      </c>
      <c r="E116" s="106">
        <v>106.84</v>
      </c>
      <c r="F116" s="14"/>
    </row>
    <row r="117" spans="1:6" ht="15" outlineLevel="2">
      <c r="A117" s="42"/>
      <c r="B117" s="83" t="s">
        <v>1244</v>
      </c>
      <c r="C117" s="83" t="s">
        <v>1580</v>
      </c>
      <c r="D117" s="83" t="s">
        <v>676</v>
      </c>
      <c r="E117" s="106">
        <v>194.54</v>
      </c>
      <c r="F117" s="14"/>
    </row>
    <row r="118" spans="1:6" ht="15" outlineLevel="2">
      <c r="A118" s="42"/>
      <c r="B118" s="83" t="s">
        <v>1253</v>
      </c>
      <c r="C118" s="83" t="s">
        <v>1582</v>
      </c>
      <c r="D118" s="83" t="s">
        <v>1438</v>
      </c>
      <c r="E118" s="106">
        <v>1600.53</v>
      </c>
      <c r="F118" s="14"/>
    </row>
    <row r="119" spans="1:6" ht="15" outlineLevel="2">
      <c r="A119" s="42"/>
      <c r="B119" s="83" t="s">
        <v>104</v>
      </c>
      <c r="C119" s="83" t="s">
        <v>1583</v>
      </c>
      <c r="D119" s="83" t="s">
        <v>1435</v>
      </c>
      <c r="E119" s="106">
        <v>270.08</v>
      </c>
      <c r="F119" s="14"/>
    </row>
    <row r="120" spans="1:6" ht="15" outlineLevel="2">
      <c r="A120" s="42"/>
      <c r="B120" s="83" t="s">
        <v>2445</v>
      </c>
      <c r="C120" s="83" t="s">
        <v>1584</v>
      </c>
      <c r="D120" s="83" t="s">
        <v>2446</v>
      </c>
      <c r="E120" s="106">
        <v>9801.04</v>
      </c>
      <c r="F120" s="14"/>
    </row>
    <row r="121" spans="1:6" ht="15" outlineLevel="2">
      <c r="A121" s="42"/>
      <c r="B121" s="83" t="s">
        <v>31</v>
      </c>
      <c r="C121" s="83" t="s">
        <v>1584</v>
      </c>
      <c r="D121" s="83" t="s">
        <v>1926</v>
      </c>
      <c r="E121" s="106">
        <v>2206.82</v>
      </c>
      <c r="F121" s="14"/>
    </row>
    <row r="122" spans="1:6" ht="19.5" customHeight="1" outlineLevel="2">
      <c r="A122" s="42"/>
      <c r="B122" s="83" t="s">
        <v>568</v>
      </c>
      <c r="C122" s="83" t="s">
        <v>1586</v>
      </c>
      <c r="D122" s="83" t="s">
        <v>567</v>
      </c>
      <c r="E122" s="106">
        <v>4313.82</v>
      </c>
      <c r="F122" s="14"/>
    </row>
    <row r="123" spans="1:6" ht="15" outlineLevel="2">
      <c r="A123" s="42"/>
      <c r="B123" s="83" t="s">
        <v>1181</v>
      </c>
      <c r="C123" s="83" t="s">
        <v>1587</v>
      </c>
      <c r="D123" s="83" t="s">
        <v>1188</v>
      </c>
      <c r="E123" s="106">
        <v>287.76</v>
      </c>
      <c r="F123" s="14"/>
    </row>
    <row r="124" spans="1:6" ht="15" outlineLevel="2">
      <c r="A124" s="42"/>
      <c r="B124" s="83" t="s">
        <v>1001</v>
      </c>
      <c r="C124" s="83" t="s">
        <v>1588</v>
      </c>
      <c r="D124" s="83" t="s">
        <v>644</v>
      </c>
      <c r="E124" s="106">
        <v>5350</v>
      </c>
      <c r="F124" s="14"/>
    </row>
    <row r="125" spans="1:5" ht="15.75" customHeight="1" outlineLevel="1">
      <c r="A125" s="255" t="s">
        <v>1718</v>
      </c>
      <c r="B125" s="256"/>
      <c r="C125" s="256"/>
      <c r="D125" s="257"/>
      <c r="E125" s="105">
        <f>SUM(E126:E129)</f>
        <v>4110.929999999999</v>
      </c>
    </row>
    <row r="126" spans="1:6" ht="15" outlineLevel="2">
      <c r="A126" s="42"/>
      <c r="B126" s="82" t="s">
        <v>83</v>
      </c>
      <c r="C126" s="82" t="s">
        <v>1577</v>
      </c>
      <c r="D126" s="82" t="s">
        <v>1920</v>
      </c>
      <c r="E126" s="106">
        <v>1318</v>
      </c>
      <c r="F126" s="14"/>
    </row>
    <row r="127" spans="1:6" ht="12.75" customHeight="1" outlineLevel="2">
      <c r="A127" s="42"/>
      <c r="B127" s="83" t="s">
        <v>1267</v>
      </c>
      <c r="C127" s="83" t="s">
        <v>1577</v>
      </c>
      <c r="D127" s="83" t="s">
        <v>191</v>
      </c>
      <c r="E127" s="106">
        <v>33.47</v>
      </c>
      <c r="F127" s="14"/>
    </row>
    <row r="128" spans="1:6" ht="15" outlineLevel="2">
      <c r="A128" s="42"/>
      <c r="B128" s="83" t="s">
        <v>2</v>
      </c>
      <c r="C128" s="83" t="s">
        <v>1577</v>
      </c>
      <c r="D128" s="83" t="s">
        <v>1897</v>
      </c>
      <c r="E128" s="106">
        <v>2625.06</v>
      </c>
      <c r="F128" s="14"/>
    </row>
    <row r="129" spans="1:6" ht="15" outlineLevel="2">
      <c r="A129" s="42"/>
      <c r="B129" s="83" t="s">
        <v>2</v>
      </c>
      <c r="C129" s="83" t="s">
        <v>1581</v>
      </c>
      <c r="D129" s="83" t="s">
        <v>936</v>
      </c>
      <c r="E129" s="106">
        <v>134.4</v>
      </c>
      <c r="F129" s="14"/>
    </row>
    <row r="130" spans="1:5" ht="14.25" customHeight="1">
      <c r="A130" s="255" t="s">
        <v>1719</v>
      </c>
      <c r="B130" s="256"/>
      <c r="C130" s="256"/>
      <c r="D130" s="257"/>
      <c r="E130" s="105">
        <f>SUM(E131:E131)</f>
        <v>6084</v>
      </c>
    </row>
    <row r="131" spans="1:6" ht="30" outlineLevel="1">
      <c r="A131" s="42"/>
      <c r="B131" s="84" t="s">
        <v>858</v>
      </c>
      <c r="C131" s="84" t="s">
        <v>1583</v>
      </c>
      <c r="D131" s="84" t="s">
        <v>927</v>
      </c>
      <c r="E131" s="106">
        <v>6084</v>
      </c>
      <c r="F131" s="14"/>
    </row>
    <row r="132" spans="1:6" ht="14.25" customHeight="1" outlineLevel="1">
      <c r="A132" s="255" t="s">
        <v>2219</v>
      </c>
      <c r="B132" s="256"/>
      <c r="C132" s="256"/>
      <c r="D132" s="257"/>
      <c r="E132" s="105">
        <f>0.1*5098*12</f>
        <v>6117.6</v>
      </c>
      <c r="F132" s="14"/>
    </row>
    <row r="133" spans="1:6" ht="14.25" customHeight="1" outlineLevel="1">
      <c r="A133" s="255" t="s">
        <v>1369</v>
      </c>
      <c r="B133" s="256"/>
      <c r="C133" s="256"/>
      <c r="D133" s="257"/>
      <c r="E133" s="105">
        <v>3166.66</v>
      </c>
      <c r="F133" s="14"/>
    </row>
    <row r="134" spans="1:6" ht="15">
      <c r="A134" s="42"/>
      <c r="B134" s="270" t="s">
        <v>59</v>
      </c>
      <c r="C134" s="270"/>
      <c r="D134" s="270"/>
      <c r="E134" s="43">
        <f>1.57*5098*12</f>
        <v>96046.32</v>
      </c>
      <c r="F134" s="14"/>
    </row>
    <row r="135" spans="1:6" ht="15">
      <c r="A135" s="42"/>
      <c r="B135" s="270" t="s">
        <v>256</v>
      </c>
      <c r="C135" s="270"/>
      <c r="D135" s="270"/>
      <c r="E135" s="43">
        <f>10.3*(E137+E138)/100</f>
        <v>129271.70736000001</v>
      </c>
      <c r="F135" s="14"/>
    </row>
    <row r="136" spans="1:5" ht="15">
      <c r="A136" s="42"/>
      <c r="B136" s="272" t="s">
        <v>659</v>
      </c>
      <c r="C136" s="272"/>
      <c r="D136" s="272"/>
      <c r="E136" s="44">
        <f>E135+E134+E20+E3</f>
        <v>1319171.6473600003</v>
      </c>
    </row>
    <row r="137" spans="1:6" ht="15">
      <c r="A137" s="42"/>
      <c r="B137" s="270" t="s">
        <v>258</v>
      </c>
      <c r="C137" s="270"/>
      <c r="D137" s="270"/>
      <c r="E137" s="43">
        <f>1095105.84</f>
        <v>1095105.84</v>
      </c>
      <c r="F137" s="14"/>
    </row>
    <row r="138" spans="1:5" ht="15">
      <c r="A138" s="42"/>
      <c r="B138" s="270" t="s">
        <v>259</v>
      </c>
      <c r="C138" s="270"/>
      <c r="D138" s="270"/>
      <c r="E138" s="43">
        <v>159959.28</v>
      </c>
    </row>
    <row r="139" spans="1:5" ht="15">
      <c r="A139" s="42"/>
      <c r="B139" s="270" t="s">
        <v>660</v>
      </c>
      <c r="C139" s="270"/>
      <c r="D139" s="270"/>
      <c r="E139" s="43">
        <v>3418834.29</v>
      </c>
    </row>
    <row r="140" spans="1:5" ht="15">
      <c r="A140" s="42"/>
      <c r="B140" s="270" t="s">
        <v>2340</v>
      </c>
      <c r="C140" s="270"/>
      <c r="D140" s="270"/>
      <c r="E140" s="43">
        <v>2544497.16</v>
      </c>
    </row>
    <row r="141" spans="1:5" ht="15">
      <c r="A141" s="42"/>
      <c r="B141" s="272" t="s">
        <v>2341</v>
      </c>
      <c r="C141" s="272"/>
      <c r="D141" s="272"/>
      <c r="E141" s="44">
        <f>'[5]Мира 24'!$E$255+E136</f>
        <v>2272079.4173600003</v>
      </c>
    </row>
    <row r="142" spans="1:5" ht="15">
      <c r="A142" s="42"/>
      <c r="B142" s="270" t="s">
        <v>732</v>
      </c>
      <c r="C142" s="270"/>
      <c r="D142" s="270"/>
      <c r="E142" s="43">
        <v>499311.3</v>
      </c>
    </row>
    <row r="143" spans="1:5" ht="15">
      <c r="A143" s="42"/>
      <c r="B143" s="270" t="s">
        <v>733</v>
      </c>
      <c r="C143" s="270"/>
      <c r="D143" s="270"/>
      <c r="E143" s="43">
        <v>371616.6</v>
      </c>
    </row>
    <row r="144" spans="1:5" ht="15">
      <c r="A144" s="42"/>
      <c r="B144" s="272" t="s">
        <v>734</v>
      </c>
      <c r="C144" s="272"/>
      <c r="D144" s="272"/>
      <c r="E144" s="44">
        <f>'[5]Мира 24'!$E$258</f>
        <v>0</v>
      </c>
    </row>
    <row r="145" spans="1:5" ht="15">
      <c r="A145" s="42"/>
      <c r="B145" s="270" t="s">
        <v>260</v>
      </c>
      <c r="C145" s="270"/>
      <c r="D145" s="270"/>
      <c r="E145" s="43">
        <v>809517.4</v>
      </c>
    </row>
    <row r="146" spans="1:5" ht="15">
      <c r="A146" s="42"/>
      <c r="B146" s="270" t="s">
        <v>735</v>
      </c>
      <c r="C146" s="270"/>
      <c r="D146" s="270"/>
      <c r="E146" s="43">
        <v>118244.11</v>
      </c>
    </row>
    <row r="147" spans="1:5" ht="15">
      <c r="A147" s="42"/>
      <c r="B147" s="272" t="s">
        <v>736</v>
      </c>
      <c r="C147" s="272"/>
      <c r="D147" s="272"/>
      <c r="E147" s="44">
        <v>0</v>
      </c>
    </row>
    <row r="148" spans="1:5" ht="15.75" customHeight="1">
      <c r="A148" s="42"/>
      <c r="B148" s="271" t="s">
        <v>737</v>
      </c>
      <c r="C148" s="271"/>
      <c r="D148" s="271"/>
      <c r="E148" s="45">
        <f>E139-E141</f>
        <v>1146754.8726399997</v>
      </c>
    </row>
    <row r="149" spans="1:5" ht="18" customHeight="1">
      <c r="A149" s="42"/>
      <c r="B149" s="271" t="s">
        <v>738</v>
      </c>
      <c r="C149" s="271"/>
      <c r="D149" s="271"/>
      <c r="E149" s="45">
        <f>E142-E144</f>
        <v>499311.3</v>
      </c>
    </row>
    <row r="150" spans="1:5" ht="28.5" customHeight="1">
      <c r="A150" s="42"/>
      <c r="B150" s="271" t="s">
        <v>739</v>
      </c>
      <c r="C150" s="271"/>
      <c r="D150" s="271"/>
      <c r="E150" s="45">
        <f>E140-E141</f>
        <v>272417.74263999984</v>
      </c>
    </row>
    <row r="151" ht="12.75">
      <c r="E151" s="39"/>
    </row>
    <row r="152" spans="1:5" ht="102">
      <c r="A152" s="12" t="s">
        <v>492</v>
      </c>
      <c r="E152" s="39"/>
    </row>
    <row r="153" spans="1:5" ht="89.25">
      <c r="A153" s="12" t="s">
        <v>493</v>
      </c>
      <c r="E153" s="39"/>
    </row>
    <row r="154" spans="1:5" ht="216.75">
      <c r="A154" s="12" t="s">
        <v>494</v>
      </c>
      <c r="E154" s="39"/>
    </row>
    <row r="155" spans="1:5" ht="89.25">
      <c r="A155" s="12" t="s">
        <v>495</v>
      </c>
      <c r="E155" s="39"/>
    </row>
  </sheetData>
  <sheetProtection/>
  <mergeCells count="40">
    <mergeCell ref="B146:D146"/>
    <mergeCell ref="B134:D134"/>
    <mergeCell ref="A8:D8"/>
    <mergeCell ref="A12:D12"/>
    <mergeCell ref="A17:D17"/>
    <mergeCell ref="A21:D21"/>
    <mergeCell ref="A29:D29"/>
    <mergeCell ref="A43:D43"/>
    <mergeCell ref="A87:D87"/>
    <mergeCell ref="A88:D88"/>
    <mergeCell ref="B141:D141"/>
    <mergeCell ref="B147:D147"/>
    <mergeCell ref="B140:D140"/>
    <mergeCell ref="B150:D150"/>
    <mergeCell ref="B142:D142"/>
    <mergeCell ref="B143:D143"/>
    <mergeCell ref="B144:D144"/>
    <mergeCell ref="B145:D145"/>
    <mergeCell ref="B148:D148"/>
    <mergeCell ref="B149:D149"/>
    <mergeCell ref="A1:E1"/>
    <mergeCell ref="A4:D4"/>
    <mergeCell ref="A6:D6"/>
    <mergeCell ref="A56:D56"/>
    <mergeCell ref="B20:C20"/>
    <mergeCell ref="B139:D139"/>
    <mergeCell ref="B137:D137"/>
    <mergeCell ref="B136:D136"/>
    <mergeCell ref="B135:D135"/>
    <mergeCell ref="B138:D138"/>
    <mergeCell ref="A74:D74"/>
    <mergeCell ref="B3:C3"/>
    <mergeCell ref="A133:D133"/>
    <mergeCell ref="A106:D106"/>
    <mergeCell ref="A108:D108"/>
    <mergeCell ref="A125:D125"/>
    <mergeCell ref="A130:D130"/>
    <mergeCell ref="A62:D62"/>
    <mergeCell ref="A68:D68"/>
    <mergeCell ref="A132:D132"/>
  </mergeCells>
  <printOptions/>
  <pageMargins left="0.4330708661417323" right="0.15748031496062992" top="0.37" bottom="0.21" header="0.15748031496062992" footer="0.15748031496062992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zoomScalePageLayoutView="0" workbookViewId="0" topLeftCell="A1">
      <selection activeCell="E104" sqref="A1:E104"/>
    </sheetView>
  </sheetViews>
  <sheetFormatPr defaultColWidth="13.421875" defaultRowHeight="12.75" outlineLevelRow="2"/>
  <cols>
    <col min="1" max="1" width="1.1484375" style="1" customWidth="1"/>
    <col min="2" max="2" width="11.8515625" style="1" customWidth="1"/>
    <col min="3" max="3" width="14.7109375" style="1" customWidth="1"/>
    <col min="4" max="4" width="76.574218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258" t="s">
        <v>2221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E4+E6+E8</f>
        <v>23780.98</v>
      </c>
    </row>
    <row r="4" spans="1:5" ht="13.5" customHeight="1" outlineLevel="1">
      <c r="A4" s="255" t="s">
        <v>1589</v>
      </c>
      <c r="B4" s="256"/>
      <c r="C4" s="256"/>
      <c r="D4" s="257"/>
      <c r="E4" s="105">
        <f>SUM(E5:E5)</f>
        <v>10668.66</v>
      </c>
    </row>
    <row r="5" spans="1:6" ht="15" outlineLevel="2">
      <c r="A5" s="81"/>
      <c r="B5" s="84" t="s">
        <v>2286</v>
      </c>
      <c r="C5" s="84" t="s">
        <v>1587</v>
      </c>
      <c r="D5" s="84" t="s">
        <v>2287</v>
      </c>
      <c r="E5" s="106">
        <v>10668.66</v>
      </c>
      <c r="F5" s="14"/>
    </row>
    <row r="6" spans="1:5" ht="12" customHeight="1" outlineLevel="1">
      <c r="A6" s="255" t="s">
        <v>1590</v>
      </c>
      <c r="B6" s="256"/>
      <c r="C6" s="256"/>
      <c r="D6" s="257"/>
      <c r="E6" s="105">
        <f>SUM(E7:E7)</f>
        <v>11912.32</v>
      </c>
    </row>
    <row r="7" spans="1:6" ht="15" outlineLevel="2">
      <c r="A7" s="81"/>
      <c r="B7" s="84" t="s">
        <v>1383</v>
      </c>
      <c r="C7" s="84" t="s">
        <v>1583</v>
      </c>
      <c r="D7" s="84" t="s">
        <v>1382</v>
      </c>
      <c r="E7" s="106">
        <v>11912.32</v>
      </c>
      <c r="F7" s="14"/>
    </row>
    <row r="8" spans="1:5" ht="12.75" customHeight="1" outlineLevel="1">
      <c r="A8" s="255" t="s">
        <v>1595</v>
      </c>
      <c r="B8" s="256"/>
      <c r="C8" s="256"/>
      <c r="D8" s="257"/>
      <c r="E8" s="105">
        <f>SUM(E9:E9)</f>
        <v>1200</v>
      </c>
    </row>
    <row r="9" spans="1:6" ht="15" outlineLevel="2">
      <c r="A9" s="81"/>
      <c r="B9" s="312" t="s">
        <v>282</v>
      </c>
      <c r="C9" s="313"/>
      <c r="D9" s="314"/>
      <c r="E9" s="106">
        <v>1200</v>
      </c>
      <c r="F9" s="14"/>
    </row>
    <row r="10" spans="1:5" ht="13.5" customHeight="1">
      <c r="A10" s="91"/>
      <c r="B10" s="308"/>
      <c r="C10" s="308"/>
      <c r="D10" s="155" t="s">
        <v>1600</v>
      </c>
      <c r="E10" s="130">
        <f>E11+E22+E24+E31+E36+E38+E41+E54+E55+E66+E77+E86+E87</f>
        <v>315026.27599999995</v>
      </c>
    </row>
    <row r="11" spans="1:5" ht="14.25" customHeight="1" outlineLevel="1">
      <c r="A11" s="255" t="s">
        <v>1576</v>
      </c>
      <c r="B11" s="256"/>
      <c r="C11" s="256"/>
      <c r="D11" s="257"/>
      <c r="E11" s="105">
        <f>SUM(E12:E21)</f>
        <v>66363.29000000001</v>
      </c>
    </row>
    <row r="12" spans="1:6" ht="30" outlineLevel="2">
      <c r="A12" s="42"/>
      <c r="B12" s="83" t="s">
        <v>386</v>
      </c>
      <c r="C12" s="83" t="s">
        <v>1578</v>
      </c>
      <c r="D12" s="83" t="s">
        <v>387</v>
      </c>
      <c r="E12" s="106">
        <v>47966.85</v>
      </c>
      <c r="F12" s="14"/>
    </row>
    <row r="13" spans="1:6" ht="15" outlineLevel="2">
      <c r="A13" s="42"/>
      <c r="B13" s="83" t="s">
        <v>2</v>
      </c>
      <c r="C13" s="83" t="s">
        <v>1580</v>
      </c>
      <c r="D13" s="83" t="s">
        <v>2277</v>
      </c>
      <c r="E13" s="106">
        <v>119.9</v>
      </c>
      <c r="F13" s="14"/>
    </row>
    <row r="14" spans="1:6" ht="15" outlineLevel="2">
      <c r="A14" s="42"/>
      <c r="B14" s="83" t="s">
        <v>1689</v>
      </c>
      <c r="C14" s="83" t="s">
        <v>1582</v>
      </c>
      <c r="D14" s="83" t="s">
        <v>2412</v>
      </c>
      <c r="E14" s="106">
        <v>394.61</v>
      </c>
      <c r="F14" s="14"/>
    </row>
    <row r="15" spans="1:6" ht="26.25" customHeight="1" outlineLevel="2">
      <c r="A15" s="42"/>
      <c r="B15" s="83" t="s">
        <v>508</v>
      </c>
      <c r="C15" s="83" t="s">
        <v>1582</v>
      </c>
      <c r="D15" s="83" t="s">
        <v>509</v>
      </c>
      <c r="E15" s="106">
        <v>332.45</v>
      </c>
      <c r="F15" s="14"/>
    </row>
    <row r="16" spans="1:6" ht="15" outlineLevel="2">
      <c r="A16" s="42"/>
      <c r="B16" s="83" t="s">
        <v>1695</v>
      </c>
      <c r="C16" s="83" t="s">
        <v>1583</v>
      </c>
      <c r="D16" s="83" t="s">
        <v>1152</v>
      </c>
      <c r="E16" s="106">
        <v>512.65</v>
      </c>
      <c r="F16" s="14"/>
    </row>
    <row r="17" spans="1:6" ht="15" outlineLevel="2">
      <c r="A17" s="42"/>
      <c r="B17" s="83" t="s">
        <v>1033</v>
      </c>
      <c r="C17" s="83" t="s">
        <v>1583</v>
      </c>
      <c r="D17" s="83" t="s">
        <v>509</v>
      </c>
      <c r="E17" s="106">
        <v>2153.84</v>
      </c>
      <c r="F17" s="14"/>
    </row>
    <row r="18" spans="1:6" ht="15" outlineLevel="2">
      <c r="A18" s="42"/>
      <c r="B18" s="83" t="s">
        <v>2</v>
      </c>
      <c r="C18" s="83" t="s">
        <v>1583</v>
      </c>
      <c r="D18" s="83" t="s">
        <v>855</v>
      </c>
      <c r="E18" s="106">
        <v>160.3</v>
      </c>
      <c r="F18" s="14"/>
    </row>
    <row r="19" spans="1:6" ht="15" outlineLevel="2">
      <c r="A19" s="42"/>
      <c r="B19" s="83" t="s">
        <v>1543</v>
      </c>
      <c r="C19" s="83" t="s">
        <v>1585</v>
      </c>
      <c r="D19" s="83" t="s">
        <v>1544</v>
      </c>
      <c r="E19" s="106">
        <v>3408.56</v>
      </c>
      <c r="F19" s="14"/>
    </row>
    <row r="20" spans="1:6" ht="15" customHeight="1" outlineLevel="2">
      <c r="A20" s="42"/>
      <c r="B20" s="83" t="s">
        <v>2424</v>
      </c>
      <c r="C20" s="83" t="s">
        <v>1586</v>
      </c>
      <c r="D20" s="83" t="s">
        <v>646</v>
      </c>
      <c r="E20" s="106">
        <v>7659.99</v>
      </c>
      <c r="F20" s="14"/>
    </row>
    <row r="21" spans="1:6" ht="15" outlineLevel="2">
      <c r="A21" s="42"/>
      <c r="B21" s="83" t="s">
        <v>744</v>
      </c>
      <c r="C21" s="83" t="s">
        <v>1587</v>
      </c>
      <c r="D21" s="83" t="s">
        <v>745</v>
      </c>
      <c r="E21" s="106">
        <v>3654.14</v>
      </c>
      <c r="F21" s="14"/>
    </row>
    <row r="22" spans="1:5" ht="14.25" customHeight="1" outlineLevel="1">
      <c r="A22" s="255" t="s">
        <v>1589</v>
      </c>
      <c r="B22" s="256"/>
      <c r="C22" s="256"/>
      <c r="D22" s="257"/>
      <c r="E22" s="105">
        <f>SUM(E23:E23)</f>
        <v>2590</v>
      </c>
    </row>
    <row r="23" spans="1:6" ht="15.75" customHeight="1" outlineLevel="2">
      <c r="A23" s="42"/>
      <c r="B23" s="83" t="s">
        <v>878</v>
      </c>
      <c r="C23" s="83" t="s">
        <v>1579</v>
      </c>
      <c r="D23" s="83" t="s">
        <v>2303</v>
      </c>
      <c r="E23" s="106">
        <v>2590</v>
      </c>
      <c r="F23" s="14"/>
    </row>
    <row r="24" spans="1:5" ht="13.5" customHeight="1" outlineLevel="1">
      <c r="A24" s="255" t="s">
        <v>1590</v>
      </c>
      <c r="B24" s="256"/>
      <c r="C24" s="256"/>
      <c r="D24" s="257"/>
      <c r="E24" s="105">
        <f>SUM(E25:E30)</f>
        <v>16473.289999999997</v>
      </c>
    </row>
    <row r="25" spans="1:6" ht="15" outlineLevel="2">
      <c r="A25" s="42"/>
      <c r="B25" s="88" t="s">
        <v>2</v>
      </c>
      <c r="C25" s="82" t="s">
        <v>1577</v>
      </c>
      <c r="D25" s="82" t="s">
        <v>1507</v>
      </c>
      <c r="E25" s="106">
        <v>113.4</v>
      </c>
      <c r="F25" s="14"/>
    </row>
    <row r="26" spans="1:6" ht="15" outlineLevel="2">
      <c r="A26" s="42"/>
      <c r="B26" s="87" t="s">
        <v>2</v>
      </c>
      <c r="C26" s="83" t="s">
        <v>1581</v>
      </c>
      <c r="D26" s="83" t="s">
        <v>941</v>
      </c>
      <c r="E26" s="106">
        <v>165.51</v>
      </c>
      <c r="F26" s="14"/>
    </row>
    <row r="27" spans="1:6" ht="13.5" customHeight="1" outlineLevel="2">
      <c r="A27" s="42"/>
      <c r="B27" s="87" t="s">
        <v>33</v>
      </c>
      <c r="C27" s="83" t="s">
        <v>1584</v>
      </c>
      <c r="D27" s="83" t="s">
        <v>704</v>
      </c>
      <c r="E27" s="106">
        <v>1952.15</v>
      </c>
      <c r="F27" s="14"/>
    </row>
    <row r="28" spans="1:6" ht="15" outlineLevel="2">
      <c r="A28" s="42"/>
      <c r="B28" s="87" t="s">
        <v>2</v>
      </c>
      <c r="C28" s="83" t="s">
        <v>1584</v>
      </c>
      <c r="D28" s="83" t="s">
        <v>760</v>
      </c>
      <c r="E28" s="106">
        <v>11255.4</v>
      </c>
      <c r="F28" s="14"/>
    </row>
    <row r="29" spans="1:6" ht="15" outlineLevel="2">
      <c r="A29" s="42"/>
      <c r="B29" s="87" t="s">
        <v>2</v>
      </c>
      <c r="C29" s="83" t="s">
        <v>1586</v>
      </c>
      <c r="D29" s="83" t="s">
        <v>783</v>
      </c>
      <c r="E29" s="106">
        <v>2941.3</v>
      </c>
      <c r="F29" s="14"/>
    </row>
    <row r="30" spans="1:6" ht="15" outlineLevel="2">
      <c r="A30" s="42"/>
      <c r="B30" s="87" t="s">
        <v>1199</v>
      </c>
      <c r="C30" s="83" t="s">
        <v>1587</v>
      </c>
      <c r="D30" s="83" t="s">
        <v>1179</v>
      </c>
      <c r="E30" s="106">
        <v>45.53</v>
      </c>
      <c r="F30" s="14"/>
    </row>
    <row r="31" spans="1:5" ht="15.75" customHeight="1" outlineLevel="1">
      <c r="A31" s="255" t="s">
        <v>1591</v>
      </c>
      <c r="B31" s="256"/>
      <c r="C31" s="256"/>
      <c r="D31" s="257"/>
      <c r="E31" s="105">
        <f>SUM(E32:E35)</f>
        <v>4246.64</v>
      </c>
    </row>
    <row r="32" spans="1:6" ht="15" outlineLevel="2">
      <c r="A32" s="42"/>
      <c r="B32" s="87" t="s">
        <v>2329</v>
      </c>
      <c r="C32" s="83" t="s">
        <v>1578</v>
      </c>
      <c r="D32" s="83" t="s">
        <v>647</v>
      </c>
      <c r="E32" s="106">
        <v>2230.63</v>
      </c>
      <c r="F32" s="14"/>
    </row>
    <row r="33" spans="1:6" ht="15" outlineLevel="2">
      <c r="A33" s="42"/>
      <c r="B33" s="87" t="s">
        <v>879</v>
      </c>
      <c r="C33" s="83" t="s">
        <v>1579</v>
      </c>
      <c r="D33" s="83" t="s">
        <v>321</v>
      </c>
      <c r="E33" s="106">
        <v>424.89</v>
      </c>
      <c r="F33" s="14"/>
    </row>
    <row r="34" spans="1:6" ht="15" outlineLevel="2">
      <c r="A34" s="42"/>
      <c r="B34" s="87" t="s">
        <v>52</v>
      </c>
      <c r="C34" s="83" t="s">
        <v>1583</v>
      </c>
      <c r="D34" s="83" t="s">
        <v>1153</v>
      </c>
      <c r="E34" s="106">
        <v>856.98</v>
      </c>
      <c r="F34" s="14"/>
    </row>
    <row r="35" spans="1:6" ht="15" outlineLevel="2">
      <c r="A35" s="42"/>
      <c r="B35" s="87" t="s">
        <v>2365</v>
      </c>
      <c r="C35" s="83" t="s">
        <v>1583</v>
      </c>
      <c r="D35" s="83" t="s">
        <v>1162</v>
      </c>
      <c r="E35" s="106">
        <v>734.14</v>
      </c>
      <c r="F35" s="14"/>
    </row>
    <row r="36" spans="1:5" ht="15" customHeight="1" outlineLevel="1">
      <c r="A36" s="255" t="s">
        <v>1594</v>
      </c>
      <c r="B36" s="256"/>
      <c r="C36" s="256"/>
      <c r="D36" s="257"/>
      <c r="E36" s="105">
        <f>SUM(E37:E37)</f>
        <v>7191.5</v>
      </c>
    </row>
    <row r="37" spans="1:6" ht="30" outlineLevel="2">
      <c r="A37" s="42"/>
      <c r="B37" s="87" t="s">
        <v>1039</v>
      </c>
      <c r="C37" s="83" t="s">
        <v>1582</v>
      </c>
      <c r="D37" s="83" t="s">
        <v>1043</v>
      </c>
      <c r="E37" s="106">
        <v>7191.5</v>
      </c>
      <c r="F37" s="14"/>
    </row>
    <row r="38" spans="1:5" ht="15.75" customHeight="1" outlineLevel="1">
      <c r="A38" s="255" t="s">
        <v>1599</v>
      </c>
      <c r="B38" s="256"/>
      <c r="C38" s="256"/>
      <c r="D38" s="257"/>
      <c r="E38" s="105">
        <f>SUM(E39:E40)</f>
        <v>4524.88</v>
      </c>
    </row>
    <row r="39" spans="1:6" ht="15" outlineLevel="2">
      <c r="A39" s="42"/>
      <c r="B39" s="83" t="s">
        <v>730</v>
      </c>
      <c r="C39" s="83" t="s">
        <v>1584</v>
      </c>
      <c r="D39" s="83" t="s">
        <v>1405</v>
      </c>
      <c r="E39" s="106">
        <v>4384.88</v>
      </c>
      <c r="F39" s="14"/>
    </row>
    <row r="40" spans="1:6" ht="15" outlineLevel="2">
      <c r="A40" s="42"/>
      <c r="B40" s="83" t="s">
        <v>394</v>
      </c>
      <c r="C40" s="83" t="s">
        <v>1586</v>
      </c>
      <c r="D40" s="83" t="s">
        <v>395</v>
      </c>
      <c r="E40" s="106">
        <v>140</v>
      </c>
      <c r="F40" s="14"/>
    </row>
    <row r="41" spans="1:5" ht="14.25" customHeight="1" outlineLevel="1">
      <c r="A41" s="255" t="s">
        <v>1713</v>
      </c>
      <c r="B41" s="256"/>
      <c r="C41" s="256"/>
      <c r="D41" s="257"/>
      <c r="E41" s="105">
        <f>SUM(E42:E53)</f>
        <v>110002.09999999999</v>
      </c>
    </row>
    <row r="42" spans="1:6" ht="15" outlineLevel="2">
      <c r="A42" s="42"/>
      <c r="B42" s="82"/>
      <c r="C42" s="82" t="s">
        <v>1577</v>
      </c>
      <c r="D42" s="82" t="s">
        <v>1496</v>
      </c>
      <c r="E42" s="106">
        <v>9332.5</v>
      </c>
      <c r="F42" s="14"/>
    </row>
    <row r="43" spans="1:6" ht="15" outlineLevel="2">
      <c r="A43" s="42"/>
      <c r="B43" s="83"/>
      <c r="C43" s="83" t="s">
        <v>1578</v>
      </c>
      <c r="D43" s="83" t="s">
        <v>1496</v>
      </c>
      <c r="E43" s="106">
        <v>9332.5</v>
      </c>
      <c r="F43" s="14"/>
    </row>
    <row r="44" spans="1:6" ht="15" outlineLevel="2">
      <c r="A44" s="42"/>
      <c r="B44" s="83"/>
      <c r="C44" s="83" t="s">
        <v>1579</v>
      </c>
      <c r="D44" s="83" t="s">
        <v>1496</v>
      </c>
      <c r="E44" s="106">
        <v>9332.5</v>
      </c>
      <c r="F44" s="14"/>
    </row>
    <row r="45" spans="1:6" ht="15" outlineLevel="2">
      <c r="A45" s="42"/>
      <c r="B45" s="83"/>
      <c r="C45" s="83" t="s">
        <v>1580</v>
      </c>
      <c r="D45" s="83" t="s">
        <v>1496</v>
      </c>
      <c r="E45" s="106">
        <v>9332.5</v>
      </c>
      <c r="F45" s="14"/>
    </row>
    <row r="46" spans="1:6" ht="15" outlineLevel="2">
      <c r="A46" s="42"/>
      <c r="B46" s="83"/>
      <c r="C46" s="83" t="s">
        <v>1581</v>
      </c>
      <c r="D46" s="83" t="s">
        <v>1496</v>
      </c>
      <c r="E46" s="106">
        <v>8934.92</v>
      </c>
      <c r="F46" s="14"/>
    </row>
    <row r="47" spans="1:6" ht="15" outlineLevel="2">
      <c r="A47" s="42"/>
      <c r="B47" s="83"/>
      <c r="C47" s="83" t="s">
        <v>1582</v>
      </c>
      <c r="D47" s="83" t="s">
        <v>1496</v>
      </c>
      <c r="E47" s="106">
        <v>8934.92</v>
      </c>
      <c r="F47" s="14"/>
    </row>
    <row r="48" spans="1:6" ht="15" outlineLevel="2">
      <c r="A48" s="42"/>
      <c r="B48" s="83"/>
      <c r="C48" s="83" t="s">
        <v>1583</v>
      </c>
      <c r="D48" s="83" t="s">
        <v>1496</v>
      </c>
      <c r="E48" s="106">
        <v>8934.92</v>
      </c>
      <c r="F48" s="14"/>
    </row>
    <row r="49" spans="1:6" ht="15" outlineLevel="2">
      <c r="A49" s="42"/>
      <c r="B49" s="83"/>
      <c r="C49" s="83" t="s">
        <v>1584</v>
      </c>
      <c r="D49" s="83" t="s">
        <v>1496</v>
      </c>
      <c r="E49" s="106">
        <v>8934.92</v>
      </c>
      <c r="F49" s="14"/>
    </row>
    <row r="50" spans="1:6" ht="15" outlineLevel="2">
      <c r="A50" s="42"/>
      <c r="B50" s="83"/>
      <c r="C50" s="83" t="s">
        <v>1585</v>
      </c>
      <c r="D50" s="83" t="s">
        <v>1496</v>
      </c>
      <c r="E50" s="106">
        <v>8934.92</v>
      </c>
      <c r="F50" s="14"/>
    </row>
    <row r="51" spans="1:6" ht="15" outlineLevel="2">
      <c r="A51" s="42"/>
      <c r="B51" s="83"/>
      <c r="C51" s="83" t="s">
        <v>1586</v>
      </c>
      <c r="D51" s="83" t="s">
        <v>1496</v>
      </c>
      <c r="E51" s="106">
        <v>9332.5</v>
      </c>
      <c r="F51" s="14"/>
    </row>
    <row r="52" spans="1:6" ht="15" outlineLevel="2">
      <c r="A52" s="42"/>
      <c r="B52" s="83"/>
      <c r="C52" s="83" t="s">
        <v>1587</v>
      </c>
      <c r="D52" s="83" t="s">
        <v>1496</v>
      </c>
      <c r="E52" s="106">
        <v>9332.5</v>
      </c>
      <c r="F52" s="14"/>
    </row>
    <row r="53" spans="1:6" ht="15" outlineLevel="2">
      <c r="A53" s="42"/>
      <c r="B53" s="89"/>
      <c r="C53" s="83" t="s">
        <v>1588</v>
      </c>
      <c r="D53" s="83" t="s">
        <v>1496</v>
      </c>
      <c r="E53" s="106">
        <v>9332.5</v>
      </c>
      <c r="F53" s="14"/>
    </row>
    <row r="54" spans="1:5" ht="13.5" customHeight="1" outlineLevel="1">
      <c r="A54" s="255" t="s">
        <v>1714</v>
      </c>
      <c r="B54" s="256"/>
      <c r="C54" s="256"/>
      <c r="D54" s="257"/>
      <c r="E54" s="105">
        <f>1.46*2636.3*12</f>
        <v>46187.976</v>
      </c>
    </row>
    <row r="55" spans="1:5" ht="14.25" customHeight="1" outlineLevel="1">
      <c r="A55" s="255" t="s">
        <v>1715</v>
      </c>
      <c r="B55" s="256"/>
      <c r="C55" s="256"/>
      <c r="D55" s="257"/>
      <c r="E55" s="105">
        <f>SUM(E56:E65)</f>
        <v>4481.79</v>
      </c>
    </row>
    <row r="56" spans="1:6" ht="15" outlineLevel="2">
      <c r="A56" s="42"/>
      <c r="B56" s="83" t="s">
        <v>872</v>
      </c>
      <c r="C56" s="83" t="s">
        <v>1578</v>
      </c>
      <c r="D56" s="83" t="s">
        <v>2327</v>
      </c>
      <c r="E56" s="106">
        <v>106.1</v>
      </c>
      <c r="F56" s="14"/>
    </row>
    <row r="57" spans="1:6" ht="15" outlineLevel="2">
      <c r="A57" s="42"/>
      <c r="B57" s="83" t="s">
        <v>139</v>
      </c>
      <c r="C57" s="83" t="s">
        <v>1580</v>
      </c>
      <c r="D57" s="83" t="s">
        <v>2233</v>
      </c>
      <c r="E57" s="106">
        <v>578.08</v>
      </c>
      <c r="F57" s="14"/>
    </row>
    <row r="58" spans="1:6" ht="15" outlineLevel="2">
      <c r="A58" s="42"/>
      <c r="B58" s="83" t="s">
        <v>1244</v>
      </c>
      <c r="C58" s="83" t="s">
        <v>1580</v>
      </c>
      <c r="D58" s="83" t="s">
        <v>669</v>
      </c>
      <c r="E58" s="106">
        <v>106.84</v>
      </c>
      <c r="F58" s="14"/>
    </row>
    <row r="59" spans="1:6" ht="15" outlineLevel="2">
      <c r="A59" s="42"/>
      <c r="B59" s="83" t="s">
        <v>1687</v>
      </c>
      <c r="C59" s="83" t="s">
        <v>1582</v>
      </c>
      <c r="D59" s="83" t="s">
        <v>1005</v>
      </c>
      <c r="E59" s="106">
        <v>1688</v>
      </c>
      <c r="F59" s="14"/>
    </row>
    <row r="60" spans="1:6" ht="30" outlineLevel="2">
      <c r="A60" s="42"/>
      <c r="B60" s="83" t="s">
        <v>761</v>
      </c>
      <c r="C60" s="83" t="s">
        <v>1582</v>
      </c>
      <c r="D60" s="83" t="s">
        <v>762</v>
      </c>
      <c r="E60" s="106">
        <v>250</v>
      </c>
      <c r="F60" s="14"/>
    </row>
    <row r="61" spans="1:6" ht="15" outlineLevel="2">
      <c r="A61" s="42"/>
      <c r="B61" s="83" t="s">
        <v>2488</v>
      </c>
      <c r="C61" s="83" t="s">
        <v>1585</v>
      </c>
      <c r="D61" s="83" t="s">
        <v>110</v>
      </c>
      <c r="E61" s="106">
        <v>728.36</v>
      </c>
      <c r="F61" s="14"/>
    </row>
    <row r="62" spans="1:6" ht="15" outlineLevel="2">
      <c r="A62" s="42"/>
      <c r="B62" s="83" t="s">
        <v>578</v>
      </c>
      <c r="C62" s="83" t="s">
        <v>1586</v>
      </c>
      <c r="D62" s="83" t="s">
        <v>1005</v>
      </c>
      <c r="E62" s="106">
        <v>198</v>
      </c>
      <c r="F62" s="14"/>
    </row>
    <row r="63" spans="1:6" ht="15" outlineLevel="2">
      <c r="A63" s="42"/>
      <c r="B63" s="83" t="s">
        <v>1069</v>
      </c>
      <c r="C63" s="83" t="s">
        <v>1588</v>
      </c>
      <c r="D63" s="83" t="s">
        <v>1070</v>
      </c>
      <c r="E63" s="106">
        <v>180</v>
      </c>
      <c r="F63" s="14"/>
    </row>
    <row r="64" spans="1:6" ht="15" outlineLevel="2">
      <c r="A64" s="42"/>
      <c r="B64" s="83" t="s">
        <v>206</v>
      </c>
      <c r="C64" s="83" t="s">
        <v>1587</v>
      </c>
      <c r="D64" s="83" t="s">
        <v>207</v>
      </c>
      <c r="E64" s="106">
        <v>278.3</v>
      </c>
      <c r="F64" s="14"/>
    </row>
    <row r="65" spans="1:6" ht="15" outlineLevel="2">
      <c r="A65" s="42"/>
      <c r="B65" s="83" t="s">
        <v>1958</v>
      </c>
      <c r="C65" s="83" t="s">
        <v>1588</v>
      </c>
      <c r="D65" s="83" t="s">
        <v>1960</v>
      </c>
      <c r="E65" s="106">
        <v>368.11</v>
      </c>
      <c r="F65" s="14"/>
    </row>
    <row r="66" spans="1:5" ht="13.5" customHeight="1" outlineLevel="1">
      <c r="A66" s="255" t="s">
        <v>1595</v>
      </c>
      <c r="B66" s="256"/>
      <c r="C66" s="256"/>
      <c r="D66" s="257"/>
      <c r="E66" s="105">
        <f>SUM(E67:E76)</f>
        <v>28021.430000000004</v>
      </c>
    </row>
    <row r="67" spans="1:6" ht="15" outlineLevel="2">
      <c r="A67" s="42"/>
      <c r="B67" s="82" t="s">
        <v>64</v>
      </c>
      <c r="C67" s="82" t="s">
        <v>1577</v>
      </c>
      <c r="D67" s="82" t="s">
        <v>2127</v>
      </c>
      <c r="E67" s="106">
        <v>236.3</v>
      </c>
      <c r="F67" s="14"/>
    </row>
    <row r="68" spans="1:6" ht="15" outlineLevel="2">
      <c r="A68" s="42"/>
      <c r="B68" s="83" t="s">
        <v>1471</v>
      </c>
      <c r="C68" s="83" t="s">
        <v>1578</v>
      </c>
      <c r="D68" s="83" t="s">
        <v>1472</v>
      </c>
      <c r="E68" s="106">
        <v>3721.88</v>
      </c>
      <c r="F68" s="14"/>
    </row>
    <row r="69" spans="1:6" ht="28.5" customHeight="1" outlineLevel="2">
      <c r="A69" s="42"/>
      <c r="B69" s="83" t="s">
        <v>2080</v>
      </c>
      <c r="C69" s="83" t="s">
        <v>1578</v>
      </c>
      <c r="D69" s="83" t="s">
        <v>2081</v>
      </c>
      <c r="E69" s="106">
        <v>13542.04</v>
      </c>
      <c r="F69" s="14"/>
    </row>
    <row r="70" spans="1:6" ht="15" outlineLevel="2">
      <c r="A70" s="42"/>
      <c r="B70" s="83" t="s">
        <v>323</v>
      </c>
      <c r="C70" s="83" t="s">
        <v>1579</v>
      </c>
      <c r="D70" s="83" t="s">
        <v>416</v>
      </c>
      <c r="E70" s="106">
        <v>738.99</v>
      </c>
      <c r="F70" s="14"/>
    </row>
    <row r="71" spans="1:6" ht="15" outlineLevel="2">
      <c r="A71" s="42"/>
      <c r="B71" s="83" t="s">
        <v>1253</v>
      </c>
      <c r="C71" s="83" t="s">
        <v>1582</v>
      </c>
      <c r="D71" s="83" t="s">
        <v>1435</v>
      </c>
      <c r="E71" s="106">
        <v>492.1</v>
      </c>
      <c r="F71" s="14"/>
    </row>
    <row r="72" spans="1:6" ht="15" outlineLevel="2">
      <c r="A72" s="42"/>
      <c r="B72" s="83" t="s">
        <v>104</v>
      </c>
      <c r="C72" s="83" t="s">
        <v>1583</v>
      </c>
      <c r="D72" s="83" t="s">
        <v>1317</v>
      </c>
      <c r="E72" s="106">
        <v>1052.88</v>
      </c>
      <c r="F72" s="14"/>
    </row>
    <row r="73" spans="1:6" ht="15" outlineLevel="2">
      <c r="A73" s="42"/>
      <c r="B73" s="83" t="s">
        <v>31</v>
      </c>
      <c r="C73" s="83" t="s">
        <v>1584</v>
      </c>
      <c r="D73" s="83" t="s">
        <v>2505</v>
      </c>
      <c r="E73" s="106">
        <v>709.13</v>
      </c>
      <c r="F73" s="14"/>
    </row>
    <row r="74" spans="1:6" ht="14.25" customHeight="1" outlineLevel="2">
      <c r="A74" s="42"/>
      <c r="B74" s="83" t="s">
        <v>540</v>
      </c>
      <c r="C74" s="83" t="s">
        <v>1586</v>
      </c>
      <c r="D74" s="83" t="s">
        <v>648</v>
      </c>
      <c r="E74" s="106">
        <v>2232</v>
      </c>
      <c r="F74" s="14"/>
    </row>
    <row r="75" spans="1:6" ht="15" outlineLevel="2">
      <c r="A75" s="42"/>
      <c r="B75" s="83" t="s">
        <v>1846</v>
      </c>
      <c r="C75" s="83" t="s">
        <v>1586</v>
      </c>
      <c r="D75" s="83" t="s">
        <v>1847</v>
      </c>
      <c r="E75" s="106">
        <v>3928.97</v>
      </c>
      <c r="F75" s="14"/>
    </row>
    <row r="76" spans="1:6" ht="15" outlineLevel="2">
      <c r="A76" s="42"/>
      <c r="B76" s="83" t="s">
        <v>1000</v>
      </c>
      <c r="C76" s="83" t="s">
        <v>1588</v>
      </c>
      <c r="D76" s="83" t="s">
        <v>649</v>
      </c>
      <c r="E76" s="106">
        <v>1367.14</v>
      </c>
      <c r="F76" s="14"/>
    </row>
    <row r="77" spans="1:5" ht="13.5" customHeight="1" outlineLevel="1">
      <c r="A77" s="255" t="s">
        <v>1718</v>
      </c>
      <c r="B77" s="256"/>
      <c r="C77" s="256"/>
      <c r="D77" s="257"/>
      <c r="E77" s="105">
        <f>SUM(E78:E85)</f>
        <v>18613.16</v>
      </c>
    </row>
    <row r="78" spans="1:6" ht="15" outlineLevel="2">
      <c r="A78" s="42"/>
      <c r="B78" s="83" t="s">
        <v>13</v>
      </c>
      <c r="C78" s="83" t="s">
        <v>1579</v>
      </c>
      <c r="D78" s="83" t="s">
        <v>2313</v>
      </c>
      <c r="E78" s="106">
        <v>910.55</v>
      </c>
      <c r="F78" s="14"/>
    </row>
    <row r="79" spans="1:6" ht="15" outlineLevel="2">
      <c r="A79" s="42"/>
      <c r="B79" s="83" t="s">
        <v>425</v>
      </c>
      <c r="C79" s="83" t="s">
        <v>1579</v>
      </c>
      <c r="D79" s="83" t="s">
        <v>200</v>
      </c>
      <c r="E79" s="106">
        <v>341.15</v>
      </c>
      <c r="F79" s="14"/>
    </row>
    <row r="80" spans="1:6" ht="15" outlineLevel="2">
      <c r="A80" s="42"/>
      <c r="B80" s="83" t="s">
        <v>2</v>
      </c>
      <c r="C80" s="83" t="s">
        <v>57</v>
      </c>
      <c r="D80" s="83" t="s">
        <v>724</v>
      </c>
      <c r="E80" s="106">
        <v>90.55</v>
      </c>
      <c r="F80" s="14"/>
    </row>
    <row r="81" spans="1:6" ht="15" outlineLevel="2">
      <c r="A81" s="42"/>
      <c r="B81" s="83" t="s">
        <v>2</v>
      </c>
      <c r="C81" s="83" t="s">
        <v>1581</v>
      </c>
      <c r="D81" s="83" t="s">
        <v>720</v>
      </c>
      <c r="E81" s="106">
        <v>16.9</v>
      </c>
      <c r="F81" s="14"/>
    </row>
    <row r="82" spans="1:6" ht="15" outlineLevel="2">
      <c r="A82" s="42"/>
      <c r="B82" s="89" t="s">
        <v>1965</v>
      </c>
      <c r="C82" s="83" t="s">
        <v>1588</v>
      </c>
      <c r="D82" s="120" t="s">
        <v>650</v>
      </c>
      <c r="E82" s="106">
        <v>3212.01</v>
      </c>
      <c r="F82" s="14"/>
    </row>
    <row r="83" spans="1:6" ht="15" outlineLevel="1">
      <c r="A83" s="42"/>
      <c r="B83" s="83" t="s">
        <v>998</v>
      </c>
      <c r="C83" s="83" t="s">
        <v>1580</v>
      </c>
      <c r="D83" s="83" t="s">
        <v>651</v>
      </c>
      <c r="E83" s="106">
        <v>1874</v>
      </c>
      <c r="F83" s="14"/>
    </row>
    <row r="84" spans="1:6" ht="30" outlineLevel="1">
      <c r="A84" s="42"/>
      <c r="B84" s="83" t="s">
        <v>758</v>
      </c>
      <c r="C84" s="83" t="s">
        <v>1581</v>
      </c>
      <c r="D84" s="83" t="s">
        <v>759</v>
      </c>
      <c r="E84" s="106">
        <v>6084</v>
      </c>
      <c r="F84" s="14"/>
    </row>
    <row r="85" spans="1:6" ht="30" outlineLevel="1">
      <c r="A85" s="42"/>
      <c r="B85" s="84" t="s">
        <v>709</v>
      </c>
      <c r="C85" s="84" t="s">
        <v>1583</v>
      </c>
      <c r="D85" s="84" t="s">
        <v>706</v>
      </c>
      <c r="E85" s="106">
        <v>6084</v>
      </c>
      <c r="F85" s="14"/>
    </row>
    <row r="86" spans="1:6" ht="15.75" customHeight="1" outlineLevel="1">
      <c r="A86" s="255" t="s">
        <v>0</v>
      </c>
      <c r="B86" s="256"/>
      <c r="C86" s="256"/>
      <c r="D86" s="257"/>
      <c r="E86" s="105">
        <f>0.1*2636.3*12</f>
        <v>3163.5600000000004</v>
      </c>
      <c r="F86" s="14"/>
    </row>
    <row r="87" spans="1:6" ht="15" customHeight="1" outlineLevel="1">
      <c r="A87" s="255" t="s">
        <v>1369</v>
      </c>
      <c r="B87" s="256"/>
      <c r="C87" s="256"/>
      <c r="D87" s="257"/>
      <c r="E87" s="105">
        <v>3166.66</v>
      </c>
      <c r="F87" s="14"/>
    </row>
    <row r="88" spans="1:6" ht="15">
      <c r="A88" s="42"/>
      <c r="B88" s="270" t="s">
        <v>59</v>
      </c>
      <c r="C88" s="270"/>
      <c r="D88" s="270"/>
      <c r="E88" s="43">
        <f>1.57*2636.3*12</f>
        <v>49667.89200000001</v>
      </c>
      <c r="F88" s="14"/>
    </row>
    <row r="89" spans="1:6" ht="15">
      <c r="A89" s="42"/>
      <c r="B89" s="270" t="s">
        <v>256</v>
      </c>
      <c r="C89" s="270"/>
      <c r="D89" s="270"/>
      <c r="E89" s="43">
        <f>10.3*(E91+E92)/100</f>
        <v>66472.72272</v>
      </c>
      <c r="F89" s="14"/>
    </row>
    <row r="90" spans="1:5" ht="15">
      <c r="A90" s="42">
        <v>1</v>
      </c>
      <c r="B90" s="272" t="s">
        <v>659</v>
      </c>
      <c r="C90" s="272"/>
      <c r="D90" s="272"/>
      <c r="E90" s="44">
        <f>E89+E88+E10+E3</f>
        <v>454947.87071999995</v>
      </c>
    </row>
    <row r="91" spans="1:6" ht="15">
      <c r="A91" s="42">
        <v>2</v>
      </c>
      <c r="B91" s="270" t="s">
        <v>258</v>
      </c>
      <c r="C91" s="270"/>
      <c r="D91" s="270"/>
      <c r="E91" s="43">
        <v>563113.68</v>
      </c>
      <c r="F91" s="14"/>
    </row>
    <row r="92" spans="1:5" ht="15">
      <c r="A92" s="42">
        <v>3</v>
      </c>
      <c r="B92" s="270" t="s">
        <v>259</v>
      </c>
      <c r="C92" s="270"/>
      <c r="D92" s="270"/>
      <c r="E92" s="43">
        <v>82252.56</v>
      </c>
    </row>
    <row r="93" spans="1:5" ht="15">
      <c r="A93" s="42">
        <v>4</v>
      </c>
      <c r="B93" s="270" t="s">
        <v>660</v>
      </c>
      <c r="C93" s="270"/>
      <c r="D93" s="270"/>
      <c r="E93" s="43">
        <v>1744516.35</v>
      </c>
    </row>
    <row r="94" spans="1:5" ht="15">
      <c r="A94" s="42">
        <v>5</v>
      </c>
      <c r="B94" s="270" t="s">
        <v>2340</v>
      </c>
      <c r="C94" s="270"/>
      <c r="D94" s="270"/>
      <c r="E94" s="43">
        <v>1205441.09</v>
      </c>
    </row>
    <row r="95" spans="1:5" ht="15">
      <c r="A95" s="42">
        <v>6</v>
      </c>
      <c r="B95" s="272" t="s">
        <v>2341</v>
      </c>
      <c r="C95" s="272"/>
      <c r="D95" s="272"/>
      <c r="E95" s="44">
        <f>'[5]Мира 13'!$E$112+E90</f>
        <v>1736525.93072</v>
      </c>
    </row>
    <row r="96" spans="1:5" ht="15">
      <c r="A96" s="42">
        <v>7</v>
      </c>
      <c r="B96" s="270" t="s">
        <v>732</v>
      </c>
      <c r="C96" s="270"/>
      <c r="D96" s="270"/>
      <c r="E96" s="43">
        <v>258071.7</v>
      </c>
    </row>
    <row r="97" spans="1:5" ht="15">
      <c r="A97" s="42">
        <v>8</v>
      </c>
      <c r="B97" s="270" t="s">
        <v>733</v>
      </c>
      <c r="C97" s="270"/>
      <c r="D97" s="270"/>
      <c r="E97" s="43">
        <v>178188</v>
      </c>
    </row>
    <row r="98" spans="1:5" ht="15">
      <c r="A98" s="42">
        <v>9</v>
      </c>
      <c r="B98" s="272" t="s">
        <v>734</v>
      </c>
      <c r="C98" s="272"/>
      <c r="D98" s="272"/>
      <c r="E98" s="44">
        <f>'[5]Мира 13'!$E$115+E101</f>
        <v>0</v>
      </c>
    </row>
    <row r="99" spans="1:5" ht="15">
      <c r="A99" s="42">
        <v>10</v>
      </c>
      <c r="B99" s="270" t="s">
        <v>260</v>
      </c>
      <c r="C99" s="270"/>
      <c r="D99" s="270"/>
      <c r="E99" s="43">
        <v>438676.25</v>
      </c>
    </row>
    <row r="100" spans="1:5" ht="15">
      <c r="A100" s="42">
        <v>11</v>
      </c>
      <c r="B100" s="270" t="s">
        <v>735</v>
      </c>
      <c r="C100" s="270"/>
      <c r="D100" s="270"/>
      <c r="E100" s="43">
        <v>64076.31</v>
      </c>
    </row>
    <row r="101" spans="1:5" ht="15">
      <c r="A101" s="42">
        <v>12</v>
      </c>
      <c r="B101" s="272" t="s">
        <v>736</v>
      </c>
      <c r="C101" s="272"/>
      <c r="D101" s="272"/>
      <c r="E101" s="44">
        <v>0</v>
      </c>
    </row>
    <row r="102" spans="1:5" ht="18.75" customHeight="1">
      <c r="A102" s="42">
        <v>13</v>
      </c>
      <c r="B102" s="271" t="s">
        <v>737</v>
      </c>
      <c r="C102" s="271"/>
      <c r="D102" s="271"/>
      <c r="E102" s="45">
        <f>E93-E95</f>
        <v>7990.419280000031</v>
      </c>
    </row>
    <row r="103" spans="1:5" ht="16.5" customHeight="1">
      <c r="A103" s="42">
        <v>14</v>
      </c>
      <c r="B103" s="271" t="s">
        <v>1844</v>
      </c>
      <c r="C103" s="271"/>
      <c r="D103" s="271"/>
      <c r="E103" s="45">
        <f>E96-E98</f>
        <v>258071.7</v>
      </c>
    </row>
    <row r="104" spans="1:5" ht="29.25" customHeight="1">
      <c r="A104" s="42">
        <v>15</v>
      </c>
      <c r="B104" s="271" t="s">
        <v>2273</v>
      </c>
      <c r="C104" s="271"/>
      <c r="D104" s="271"/>
      <c r="E104" s="45">
        <f>E94-E95</f>
        <v>-531084.84072</v>
      </c>
    </row>
    <row r="105" ht="12.75">
      <c r="E105" s="39"/>
    </row>
    <row r="106" spans="1:5" ht="102">
      <c r="A106" s="12" t="s">
        <v>492</v>
      </c>
      <c r="E106" s="39"/>
    </row>
    <row r="107" spans="1:5" ht="89.25">
      <c r="A107" s="12" t="s">
        <v>493</v>
      </c>
      <c r="E107" s="39"/>
    </row>
    <row r="108" spans="1:5" ht="216.75">
      <c r="A108" s="12" t="s">
        <v>494</v>
      </c>
      <c r="E108" s="39"/>
    </row>
    <row r="109" spans="1:5" ht="89.25">
      <c r="A109" s="12" t="s">
        <v>495</v>
      </c>
      <c r="E109" s="39"/>
    </row>
  </sheetData>
  <sheetProtection/>
  <mergeCells count="37">
    <mergeCell ref="B101:D101"/>
    <mergeCell ref="B90:D90"/>
    <mergeCell ref="B89:D89"/>
    <mergeCell ref="B92:D92"/>
    <mergeCell ref="B94:D94"/>
    <mergeCell ref="B93:D93"/>
    <mergeCell ref="B91:D91"/>
    <mergeCell ref="A36:D36"/>
    <mergeCell ref="B95:D95"/>
    <mergeCell ref="B103:D103"/>
    <mergeCell ref="B100:D100"/>
    <mergeCell ref="A77:D77"/>
    <mergeCell ref="A31:D31"/>
    <mergeCell ref="A38:D38"/>
    <mergeCell ref="A54:D54"/>
    <mergeCell ref="A55:D55"/>
    <mergeCell ref="B102:D102"/>
    <mergeCell ref="B88:D88"/>
    <mergeCell ref="A87:D87"/>
    <mergeCell ref="A41:D41"/>
    <mergeCell ref="A86:D86"/>
    <mergeCell ref="A66:D66"/>
    <mergeCell ref="B104:D104"/>
    <mergeCell ref="B96:D96"/>
    <mergeCell ref="B97:D97"/>
    <mergeCell ref="B98:D98"/>
    <mergeCell ref="B99:D99"/>
    <mergeCell ref="B9:D9"/>
    <mergeCell ref="A11:D11"/>
    <mergeCell ref="A22:D22"/>
    <mergeCell ref="A24:D24"/>
    <mergeCell ref="A1:E1"/>
    <mergeCell ref="A4:D4"/>
    <mergeCell ref="A6:D6"/>
    <mergeCell ref="A8:D8"/>
    <mergeCell ref="B3:C3"/>
    <mergeCell ref="B10:C10"/>
  </mergeCells>
  <printOptions/>
  <pageMargins left="0.2755905511811024" right="0.15748031496062992" top="0.31496062992125984" bottom="0.1968503937007874" header="0.2362204724409449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44"/>
  <sheetViews>
    <sheetView zoomScalePageLayoutView="0" workbookViewId="0" topLeftCell="A1">
      <selection activeCell="C30" sqref="C30"/>
    </sheetView>
  </sheetViews>
  <sheetFormatPr defaultColWidth="13.421875" defaultRowHeight="12.75" outlineLevelRow="2"/>
  <cols>
    <col min="1" max="1" width="11.8515625" style="42" customWidth="1"/>
    <col min="2" max="2" width="14.7109375" style="42" customWidth="1"/>
    <col min="3" max="3" width="75.421875" style="42" customWidth="1"/>
    <col min="4" max="4" width="22.00390625" style="42" customWidth="1"/>
    <col min="5" max="5" width="11.421875" style="57" customWidth="1"/>
    <col min="6" max="6" width="11.421875" style="1" customWidth="1"/>
    <col min="7" max="7" width="19.8515625" style="1" customWidth="1"/>
    <col min="8" max="97" width="12.421875" style="1" customWidth="1"/>
    <col min="98" max="16384" width="13.421875" style="1" customWidth="1"/>
  </cols>
  <sheetData>
    <row r="1" spans="1:5" ht="16.5" customHeight="1">
      <c r="A1" s="108" t="s">
        <v>1561</v>
      </c>
      <c r="B1" s="109"/>
      <c r="C1" s="109"/>
      <c r="D1" s="110"/>
      <c r="E1" s="61"/>
    </row>
    <row r="2" spans="1:5" ht="15">
      <c r="A2" s="111" t="s">
        <v>1570</v>
      </c>
      <c r="B2" s="112" t="s">
        <v>1571</v>
      </c>
      <c r="C2" s="113" t="s">
        <v>2186</v>
      </c>
      <c r="D2" s="114" t="s">
        <v>1573</v>
      </c>
      <c r="E2" s="58" t="s">
        <v>1574</v>
      </c>
    </row>
    <row r="3" spans="1:4" ht="12.75" customHeight="1">
      <c r="A3" s="115"/>
      <c r="B3" s="115"/>
      <c r="C3" s="191" t="s">
        <v>1575</v>
      </c>
      <c r="D3" s="116">
        <f>D4+D7+D9</f>
        <v>100505.31999999999</v>
      </c>
    </row>
    <row r="4" spans="1:4" ht="14.25" outlineLevel="1">
      <c r="A4" s="200" t="s">
        <v>2137</v>
      </c>
      <c r="B4" s="193"/>
      <c r="C4" s="193"/>
      <c r="D4" s="148">
        <f>D5+D6</f>
        <v>85307.98</v>
      </c>
    </row>
    <row r="5" spans="1:4" ht="15" outlineLevel="2">
      <c r="A5" s="203" t="s">
        <v>97</v>
      </c>
      <c r="B5" s="83" t="s">
        <v>1581</v>
      </c>
      <c r="C5" s="203" t="s">
        <v>98</v>
      </c>
      <c r="D5" s="106">
        <v>82941.8</v>
      </c>
    </row>
    <row r="6" spans="1:4" ht="14.25" customHeight="1" outlineLevel="2">
      <c r="A6" s="83" t="s">
        <v>1306</v>
      </c>
      <c r="B6" s="83" t="s">
        <v>1583</v>
      </c>
      <c r="C6" s="83" t="s">
        <v>1308</v>
      </c>
      <c r="D6" s="43">
        <v>2366.18</v>
      </c>
    </row>
    <row r="7" spans="1:4" ht="14.25" outlineLevel="1">
      <c r="A7" s="200" t="s">
        <v>2138</v>
      </c>
      <c r="B7" s="193"/>
      <c r="C7" s="193"/>
      <c r="D7" s="148">
        <f>SUM(D8:D8)</f>
        <v>9256</v>
      </c>
    </row>
    <row r="8" spans="1:7" ht="15" customHeight="1" outlineLevel="2">
      <c r="A8" s="83" t="s">
        <v>1136</v>
      </c>
      <c r="B8" s="83" t="s">
        <v>1587</v>
      </c>
      <c r="C8" s="83" t="s">
        <v>1601</v>
      </c>
      <c r="D8" s="43">
        <v>9256</v>
      </c>
      <c r="G8" s="7"/>
    </row>
    <row r="9" spans="1:4" ht="15" outlineLevel="1">
      <c r="A9" s="200" t="s">
        <v>1599</v>
      </c>
      <c r="B9" s="193"/>
      <c r="C9" s="117"/>
      <c r="D9" s="148">
        <f>D10+D11</f>
        <v>5941.34</v>
      </c>
    </row>
    <row r="10" spans="1:4" ht="15" outlineLevel="2">
      <c r="A10" s="83" t="s">
        <v>2077</v>
      </c>
      <c r="B10" s="83" t="s">
        <v>1577</v>
      </c>
      <c r="C10" s="83" t="s">
        <v>271</v>
      </c>
      <c r="D10" s="106">
        <v>4903.66</v>
      </c>
    </row>
    <row r="11" spans="1:4" ht="15" outlineLevel="2">
      <c r="A11" s="83" t="s">
        <v>105</v>
      </c>
      <c r="B11" s="83" t="s">
        <v>1583</v>
      </c>
      <c r="C11" s="83" t="s">
        <v>1375</v>
      </c>
      <c r="D11" s="43">
        <v>1037.68</v>
      </c>
    </row>
    <row r="12" spans="1:4" ht="13.5" customHeight="1">
      <c r="A12" s="293" t="s">
        <v>1600</v>
      </c>
      <c r="B12" s="294"/>
      <c r="C12" s="295"/>
      <c r="D12" s="116">
        <f>D13+D45+D52+D62+D75+D84+D100+D112+D113+D114</f>
        <v>504475.9239999999</v>
      </c>
    </row>
    <row r="13" spans="1:5" ht="14.25" outlineLevel="1">
      <c r="A13" s="200" t="s">
        <v>2137</v>
      </c>
      <c r="B13" s="193"/>
      <c r="C13" s="202"/>
      <c r="D13" s="197">
        <f>D14+D15+D16+D17+D18+D19+D20+D21+D22+D23+D24+D25+D26+D27+D28+D29+D30+D31+D32+D33+D34+D35+D36+D37+D38+D41+D40+D42+D43+D44</f>
        <v>169088.3</v>
      </c>
      <c r="E13" s="62"/>
    </row>
    <row r="14" spans="1:5" ht="15" outlineLevel="2">
      <c r="A14" s="87" t="s">
        <v>79</v>
      </c>
      <c r="B14" s="83" t="s">
        <v>1577</v>
      </c>
      <c r="C14" s="83" t="s">
        <v>80</v>
      </c>
      <c r="D14" s="106">
        <v>1324</v>
      </c>
      <c r="E14" s="62"/>
    </row>
    <row r="15" spans="1:4" ht="15" outlineLevel="2">
      <c r="A15" s="87" t="s">
        <v>812</v>
      </c>
      <c r="B15" s="83" t="s">
        <v>1577</v>
      </c>
      <c r="C15" s="83" t="s">
        <v>77</v>
      </c>
      <c r="D15" s="106">
        <v>58.1</v>
      </c>
    </row>
    <row r="16" spans="1:4" ht="15" outlineLevel="2">
      <c r="A16" s="87" t="s">
        <v>126</v>
      </c>
      <c r="B16" s="83" t="s">
        <v>1577</v>
      </c>
      <c r="C16" s="83" t="s">
        <v>1205</v>
      </c>
      <c r="D16" s="106">
        <v>341</v>
      </c>
    </row>
    <row r="17" spans="1:4" ht="15" outlineLevel="2">
      <c r="A17" s="87" t="s">
        <v>2</v>
      </c>
      <c r="B17" s="83" t="s">
        <v>1577</v>
      </c>
      <c r="C17" s="83" t="s">
        <v>1507</v>
      </c>
      <c r="D17" s="106">
        <v>56.7</v>
      </c>
    </row>
    <row r="18" spans="1:4" ht="15" outlineLevel="2">
      <c r="A18" s="118" t="s">
        <v>8</v>
      </c>
      <c r="B18" s="118" t="s">
        <v>1578</v>
      </c>
      <c r="C18" s="118" t="s">
        <v>847</v>
      </c>
      <c r="D18" s="119">
        <v>276.01</v>
      </c>
    </row>
    <row r="19" spans="1:4" ht="12.75" customHeight="1" outlineLevel="2">
      <c r="A19" s="118" t="s">
        <v>885</v>
      </c>
      <c r="B19" s="118" t="s">
        <v>1578</v>
      </c>
      <c r="C19" s="118" t="s">
        <v>1206</v>
      </c>
      <c r="D19" s="119">
        <v>278.92</v>
      </c>
    </row>
    <row r="20" spans="1:4" ht="15" outlineLevel="2">
      <c r="A20" s="83" t="s">
        <v>872</v>
      </c>
      <c r="B20" s="83" t="s">
        <v>1578</v>
      </c>
      <c r="C20" s="83" t="s">
        <v>89</v>
      </c>
      <c r="D20" s="106">
        <v>1289.9</v>
      </c>
    </row>
    <row r="21" spans="1:4" ht="15" outlineLevel="2">
      <c r="A21" s="83" t="s">
        <v>8</v>
      </c>
      <c r="B21" s="83" t="s">
        <v>1578</v>
      </c>
      <c r="C21" s="83" t="s">
        <v>90</v>
      </c>
      <c r="D21" s="106">
        <v>244.69</v>
      </c>
    </row>
    <row r="22" spans="1:4" ht="15" outlineLevel="2">
      <c r="A22" s="83" t="s">
        <v>2</v>
      </c>
      <c r="B22" s="83" t="s">
        <v>1580</v>
      </c>
      <c r="C22" s="83" t="s">
        <v>2277</v>
      </c>
      <c r="D22" s="106">
        <v>59.95</v>
      </c>
    </row>
    <row r="23" spans="1:4" ht="15" outlineLevel="2">
      <c r="A23" s="204" t="s">
        <v>97</v>
      </c>
      <c r="B23" s="83" t="s">
        <v>57</v>
      </c>
      <c r="C23" s="203" t="s">
        <v>98</v>
      </c>
      <c r="D23" s="106">
        <v>82941.8</v>
      </c>
    </row>
    <row r="24" spans="1:4" ht="15" outlineLevel="2">
      <c r="A24" s="87" t="s">
        <v>1251</v>
      </c>
      <c r="B24" s="83" t="s">
        <v>1581</v>
      </c>
      <c r="C24" s="83" t="s">
        <v>453</v>
      </c>
      <c r="D24" s="106">
        <v>1311.29</v>
      </c>
    </row>
    <row r="25" spans="1:4" ht="15" outlineLevel="2">
      <c r="A25" s="87" t="s">
        <v>1202</v>
      </c>
      <c r="B25" s="83" t="s">
        <v>1582</v>
      </c>
      <c r="C25" s="83" t="s">
        <v>1204</v>
      </c>
      <c r="D25" s="106">
        <v>2046.84</v>
      </c>
    </row>
    <row r="26" spans="1:4" ht="18.75" customHeight="1" outlineLevel="2">
      <c r="A26" s="87" t="s">
        <v>2</v>
      </c>
      <c r="B26" s="83" t="s">
        <v>1582</v>
      </c>
      <c r="C26" s="83" t="s">
        <v>509</v>
      </c>
      <c r="D26" s="106">
        <v>491.59</v>
      </c>
    </row>
    <row r="27" spans="1:4" ht="15" outlineLevel="2">
      <c r="A27" s="87" t="s">
        <v>42</v>
      </c>
      <c r="B27" s="83" t="s">
        <v>1583</v>
      </c>
      <c r="C27" s="83" t="s">
        <v>155</v>
      </c>
      <c r="D27" s="106">
        <v>6389.73</v>
      </c>
    </row>
    <row r="28" spans="1:4" ht="15" outlineLevel="2">
      <c r="A28" s="87" t="s">
        <v>2</v>
      </c>
      <c r="B28" s="83" t="s">
        <v>1583</v>
      </c>
      <c r="C28" s="83" t="s">
        <v>509</v>
      </c>
      <c r="D28" s="106">
        <v>1076.92</v>
      </c>
    </row>
    <row r="29" spans="1:4" ht="17.25" customHeight="1" outlineLevel="2">
      <c r="A29" s="87" t="s">
        <v>2</v>
      </c>
      <c r="B29" s="83" t="s">
        <v>1584</v>
      </c>
      <c r="C29" s="83" t="s">
        <v>760</v>
      </c>
      <c r="D29" s="106">
        <v>5627.73</v>
      </c>
    </row>
    <row r="30" spans="1:4" ht="15" outlineLevel="2">
      <c r="A30" s="87" t="s">
        <v>1297</v>
      </c>
      <c r="B30" s="83" t="s">
        <v>1585</v>
      </c>
      <c r="C30" s="83" t="s">
        <v>98</v>
      </c>
      <c r="D30" s="106">
        <v>35361</v>
      </c>
    </row>
    <row r="31" spans="1:4" ht="15" outlineLevel="2">
      <c r="A31" s="87" t="s">
        <v>113</v>
      </c>
      <c r="B31" s="83" t="s">
        <v>1586</v>
      </c>
      <c r="C31" s="83" t="s">
        <v>1502</v>
      </c>
      <c r="D31" s="106">
        <v>1113.17</v>
      </c>
    </row>
    <row r="32" spans="1:4" ht="15" outlineLevel="2">
      <c r="A32" s="87" t="s">
        <v>2</v>
      </c>
      <c r="B32" s="83" t="s">
        <v>1586</v>
      </c>
      <c r="C32" s="83" t="s">
        <v>783</v>
      </c>
      <c r="D32" s="106">
        <v>1470.65</v>
      </c>
    </row>
    <row r="33" spans="1:4" ht="15" outlineLevel="2">
      <c r="A33" s="87" t="s">
        <v>130</v>
      </c>
      <c r="B33" s="83" t="s">
        <v>1578</v>
      </c>
      <c r="C33" s="83" t="s">
        <v>412</v>
      </c>
      <c r="D33" s="106">
        <v>724</v>
      </c>
    </row>
    <row r="34" spans="1:4" ht="15" outlineLevel="2">
      <c r="A34" s="87" t="s">
        <v>2180</v>
      </c>
      <c r="B34" s="83" t="s">
        <v>1578</v>
      </c>
      <c r="C34" s="83" t="s">
        <v>2227</v>
      </c>
      <c r="D34" s="106">
        <v>846.6</v>
      </c>
    </row>
    <row r="35" spans="1:4" ht="15" outlineLevel="2">
      <c r="A35" s="87" t="s">
        <v>1064</v>
      </c>
      <c r="B35" s="83" t="s">
        <v>1579</v>
      </c>
      <c r="C35" s="83" t="s">
        <v>80</v>
      </c>
      <c r="D35" s="106">
        <v>1349.7</v>
      </c>
    </row>
    <row r="36" spans="1:4" ht="15" outlineLevel="2">
      <c r="A36" s="87" t="s">
        <v>93</v>
      </c>
      <c r="B36" s="83" t="s">
        <v>1580</v>
      </c>
      <c r="C36" s="83" t="s">
        <v>94</v>
      </c>
      <c r="D36" s="106">
        <v>1332.23</v>
      </c>
    </row>
    <row r="37" spans="1:4" ht="15" outlineLevel="2">
      <c r="A37" s="87" t="s">
        <v>100</v>
      </c>
      <c r="B37" s="83" t="s">
        <v>1581</v>
      </c>
      <c r="C37" s="83" t="s">
        <v>101</v>
      </c>
      <c r="D37" s="106">
        <v>2596.63</v>
      </c>
    </row>
    <row r="38" spans="1:4" ht="15" outlineLevel="2">
      <c r="A38" s="87" t="s">
        <v>1251</v>
      </c>
      <c r="B38" s="83" t="s">
        <v>1581</v>
      </c>
      <c r="C38" s="83" t="s">
        <v>101</v>
      </c>
      <c r="D38" s="106">
        <v>1298.31</v>
      </c>
    </row>
    <row r="39" spans="1:4" ht="15" outlineLevel="2">
      <c r="A39" s="87" t="s">
        <v>103</v>
      </c>
      <c r="B39" s="83" t="s">
        <v>1582</v>
      </c>
      <c r="C39" s="83" t="s">
        <v>309</v>
      </c>
      <c r="D39" s="106">
        <v>899.84</v>
      </c>
    </row>
    <row r="40" spans="1:4" ht="15" outlineLevel="2">
      <c r="A40" s="87" t="s">
        <v>1515</v>
      </c>
      <c r="B40" s="83" t="s">
        <v>1582</v>
      </c>
      <c r="C40" s="83" t="s">
        <v>309</v>
      </c>
      <c r="D40" s="106">
        <v>1361.3</v>
      </c>
    </row>
    <row r="41" spans="1:4" ht="15" outlineLevel="2">
      <c r="A41" s="87" t="s">
        <v>627</v>
      </c>
      <c r="B41" s="83" t="s">
        <v>1584</v>
      </c>
      <c r="C41" s="83" t="s">
        <v>628</v>
      </c>
      <c r="D41" s="106">
        <v>1482.85</v>
      </c>
    </row>
    <row r="42" spans="1:4" ht="15" outlineLevel="2">
      <c r="A42" s="87" t="s">
        <v>115</v>
      </c>
      <c r="B42" s="83" t="s">
        <v>1586</v>
      </c>
      <c r="C42" s="83" t="s">
        <v>1860</v>
      </c>
      <c r="D42" s="106">
        <v>4830.36</v>
      </c>
    </row>
    <row r="43" spans="1:4" ht="15" outlineLevel="2">
      <c r="A43" s="87" t="s">
        <v>118</v>
      </c>
      <c r="B43" s="83" t="s">
        <v>1586</v>
      </c>
      <c r="C43" s="83" t="s">
        <v>119</v>
      </c>
      <c r="D43" s="106">
        <v>8147</v>
      </c>
    </row>
    <row r="44" spans="1:4" ht="15" outlineLevel="2">
      <c r="A44" s="83" t="s">
        <v>2205</v>
      </c>
      <c r="B44" s="83" t="s">
        <v>1587</v>
      </c>
      <c r="C44" s="83" t="s">
        <v>1132</v>
      </c>
      <c r="D44" s="43">
        <v>3359.33</v>
      </c>
    </row>
    <row r="45" spans="1:5" ht="15" outlineLevel="1">
      <c r="A45" s="201" t="s">
        <v>1594</v>
      </c>
      <c r="B45" s="193"/>
      <c r="C45" s="117"/>
      <c r="D45" s="195">
        <f>D46+D47+D48+D49+D50+D51</f>
        <v>3766.9700000000003</v>
      </c>
      <c r="E45" s="62"/>
    </row>
    <row r="46" spans="1:4" ht="15" outlineLevel="2">
      <c r="A46" s="87" t="s">
        <v>68</v>
      </c>
      <c r="B46" s="83" t="s">
        <v>1577</v>
      </c>
      <c r="C46" s="83" t="s">
        <v>78</v>
      </c>
      <c r="D46" s="106">
        <v>343.6</v>
      </c>
    </row>
    <row r="47" spans="1:4" ht="15" outlineLevel="2">
      <c r="A47" s="87" t="s">
        <v>5</v>
      </c>
      <c r="B47" s="83" t="s">
        <v>1577</v>
      </c>
      <c r="C47" s="83" t="s">
        <v>81</v>
      </c>
      <c r="D47" s="106">
        <v>106.7</v>
      </c>
    </row>
    <row r="48" spans="1:4" ht="15" outlineLevel="2">
      <c r="A48" s="87" t="s">
        <v>64</v>
      </c>
      <c r="B48" s="83" t="s">
        <v>1577</v>
      </c>
      <c r="C48" s="83" t="s">
        <v>82</v>
      </c>
      <c r="D48" s="106">
        <v>577.1</v>
      </c>
    </row>
    <row r="49" spans="1:4" ht="15" outlineLevel="2">
      <c r="A49" s="87" t="s">
        <v>2</v>
      </c>
      <c r="B49" s="83" t="s">
        <v>1577</v>
      </c>
      <c r="C49" s="83" t="s">
        <v>1509</v>
      </c>
      <c r="D49" s="106">
        <v>1834.38</v>
      </c>
    </row>
    <row r="50" spans="1:4" ht="12.75" customHeight="1" outlineLevel="2">
      <c r="A50" s="87" t="s">
        <v>1061</v>
      </c>
      <c r="B50" s="83" t="s">
        <v>1578</v>
      </c>
      <c r="C50" s="83" t="s">
        <v>1557</v>
      </c>
      <c r="D50" s="106">
        <v>187.24</v>
      </c>
    </row>
    <row r="51" spans="1:4" ht="15" outlineLevel="2">
      <c r="A51" s="87" t="s">
        <v>1703</v>
      </c>
      <c r="B51" s="83" t="s">
        <v>1581</v>
      </c>
      <c r="C51" s="83" t="s">
        <v>1558</v>
      </c>
      <c r="D51" s="106">
        <v>717.95</v>
      </c>
    </row>
    <row r="52" spans="1:5" ht="15" outlineLevel="1">
      <c r="A52" s="200" t="s">
        <v>1599</v>
      </c>
      <c r="B52" s="193"/>
      <c r="C52" s="117"/>
      <c r="D52" s="195">
        <f>D53+D54+D55+D56+D57+D58+D59+D60+D61</f>
        <v>26255.4</v>
      </c>
      <c r="E52" s="62"/>
    </row>
    <row r="53" spans="1:4" ht="15" outlineLevel="2">
      <c r="A53" s="83" t="s">
        <v>1505</v>
      </c>
      <c r="B53" s="83" t="s">
        <v>1577</v>
      </c>
      <c r="C53" s="83" t="s">
        <v>2141</v>
      </c>
      <c r="D53" s="106">
        <v>4903.66</v>
      </c>
    </row>
    <row r="54" spans="1:4" ht="15" outlineLevel="2">
      <c r="A54" s="83" t="s">
        <v>1115</v>
      </c>
      <c r="B54" s="83" t="s">
        <v>1577</v>
      </c>
      <c r="C54" s="83" t="s">
        <v>1405</v>
      </c>
      <c r="D54" s="106">
        <v>1821.9</v>
      </c>
    </row>
    <row r="55" spans="1:4" ht="15" outlineLevel="2">
      <c r="A55" s="83" t="s">
        <v>91</v>
      </c>
      <c r="B55" s="83" t="s">
        <v>1579</v>
      </c>
      <c r="C55" s="83" t="s">
        <v>92</v>
      </c>
      <c r="D55" s="106">
        <v>4150.39</v>
      </c>
    </row>
    <row r="56" spans="1:4" ht="15" outlineLevel="2">
      <c r="A56" s="83" t="s">
        <v>95</v>
      </c>
      <c r="B56" s="83" t="s">
        <v>1580</v>
      </c>
      <c r="C56" s="83" t="s">
        <v>96</v>
      </c>
      <c r="D56" s="106">
        <v>5222.02</v>
      </c>
    </row>
    <row r="57" spans="1:4" ht="15" outlineLevel="2">
      <c r="A57" s="83" t="s">
        <v>1704</v>
      </c>
      <c r="B57" s="83" t="s">
        <v>1581</v>
      </c>
      <c r="C57" s="83" t="s">
        <v>99</v>
      </c>
      <c r="D57" s="106">
        <v>2217.33</v>
      </c>
    </row>
    <row r="58" spans="1:4" ht="15" outlineLevel="2">
      <c r="A58" s="83" t="s">
        <v>1260</v>
      </c>
      <c r="B58" s="83" t="s">
        <v>1583</v>
      </c>
      <c r="C58" s="83" t="s">
        <v>106</v>
      </c>
      <c r="D58" s="106">
        <v>1035.62</v>
      </c>
    </row>
    <row r="59" spans="1:4" ht="15" outlineLevel="2">
      <c r="A59" s="83" t="s">
        <v>620</v>
      </c>
      <c r="B59" s="83" t="s">
        <v>1584</v>
      </c>
      <c r="C59" s="83" t="s">
        <v>623</v>
      </c>
      <c r="D59" s="106">
        <v>3743.48</v>
      </c>
    </row>
    <row r="60" spans="1:4" ht="15" outlineLevel="2">
      <c r="A60" s="83" t="s">
        <v>107</v>
      </c>
      <c r="B60" s="83" t="s">
        <v>1585</v>
      </c>
      <c r="C60" s="83" t="s">
        <v>108</v>
      </c>
      <c r="D60" s="106">
        <v>2853</v>
      </c>
    </row>
    <row r="61" spans="1:4" ht="15" outlineLevel="2">
      <c r="A61" s="83" t="s">
        <v>116</v>
      </c>
      <c r="B61" s="83" t="s">
        <v>1586</v>
      </c>
      <c r="C61" s="83" t="s">
        <v>117</v>
      </c>
      <c r="D61" s="106">
        <v>308</v>
      </c>
    </row>
    <row r="62" spans="1:5" ht="12.75" customHeight="1" outlineLevel="1">
      <c r="A62" s="200" t="s">
        <v>1713</v>
      </c>
      <c r="B62" s="193"/>
      <c r="C62" s="193"/>
      <c r="D62" s="195">
        <f>SUM(D63:D74)</f>
        <v>149595.78999999998</v>
      </c>
      <c r="E62" s="62"/>
    </row>
    <row r="63" spans="1:4" ht="15" outlineLevel="2">
      <c r="A63" s="83"/>
      <c r="B63" s="83" t="s">
        <v>1577</v>
      </c>
      <c r="C63" s="83" t="s">
        <v>1496</v>
      </c>
      <c r="D63" s="106">
        <v>3817.2</v>
      </c>
    </row>
    <row r="64" spans="1:4" ht="15" outlineLevel="2">
      <c r="A64" s="83"/>
      <c r="B64" s="83" t="s">
        <v>1578</v>
      </c>
      <c r="C64" s="83" t="s">
        <v>1496</v>
      </c>
      <c r="D64" s="106">
        <v>13512.89</v>
      </c>
    </row>
    <row r="65" spans="1:4" ht="15" outlineLevel="2">
      <c r="A65" s="83"/>
      <c r="B65" s="83" t="s">
        <v>1579</v>
      </c>
      <c r="C65" s="83" t="s">
        <v>1496</v>
      </c>
      <c r="D65" s="106">
        <v>13512.89</v>
      </c>
    </row>
    <row r="66" spans="1:4" ht="15" outlineLevel="2">
      <c r="A66" s="83"/>
      <c r="B66" s="83" t="s">
        <v>1580</v>
      </c>
      <c r="C66" s="83" t="s">
        <v>1496</v>
      </c>
      <c r="D66" s="106">
        <v>13512.89</v>
      </c>
    </row>
    <row r="67" spans="1:4" ht="15" outlineLevel="2">
      <c r="A67" s="83"/>
      <c r="B67" s="83" t="s">
        <v>1581</v>
      </c>
      <c r="C67" s="83" t="s">
        <v>1496</v>
      </c>
      <c r="D67" s="106">
        <v>12940.25</v>
      </c>
    </row>
    <row r="68" spans="1:4" ht="15" outlineLevel="2">
      <c r="A68" s="83"/>
      <c r="B68" s="83" t="s">
        <v>1582</v>
      </c>
      <c r="C68" s="83" t="s">
        <v>1496</v>
      </c>
      <c r="D68" s="106">
        <v>12940.25</v>
      </c>
    </row>
    <row r="69" spans="1:4" ht="15" outlineLevel="2">
      <c r="A69" s="83"/>
      <c r="B69" s="83" t="s">
        <v>1583</v>
      </c>
      <c r="C69" s="83" t="s">
        <v>1496</v>
      </c>
      <c r="D69" s="106">
        <v>12940.25</v>
      </c>
    </row>
    <row r="70" spans="1:4" ht="15" outlineLevel="2">
      <c r="A70" s="83"/>
      <c r="B70" s="83" t="s">
        <v>1584</v>
      </c>
      <c r="C70" s="83" t="s">
        <v>1496</v>
      </c>
      <c r="D70" s="106">
        <v>12940.25</v>
      </c>
    </row>
    <row r="71" spans="1:4" ht="15" outlineLevel="2">
      <c r="A71" s="83"/>
      <c r="B71" s="83" t="s">
        <v>1585</v>
      </c>
      <c r="C71" s="83" t="s">
        <v>1496</v>
      </c>
      <c r="D71" s="106">
        <v>12940.25</v>
      </c>
    </row>
    <row r="72" spans="1:4" ht="15" outlineLevel="2">
      <c r="A72" s="83"/>
      <c r="B72" s="83" t="s">
        <v>1586</v>
      </c>
      <c r="C72" s="83" t="s">
        <v>1496</v>
      </c>
      <c r="D72" s="106">
        <v>13512.89</v>
      </c>
    </row>
    <row r="73" spans="1:4" ht="15" outlineLevel="2">
      <c r="A73" s="83"/>
      <c r="B73" s="83" t="s">
        <v>1587</v>
      </c>
      <c r="C73" s="83" t="s">
        <v>1496</v>
      </c>
      <c r="D73" s="43">
        <v>13512.89</v>
      </c>
    </row>
    <row r="74" spans="1:4" ht="15" outlineLevel="2">
      <c r="A74" s="89"/>
      <c r="B74" s="83" t="s">
        <v>1588</v>
      </c>
      <c r="C74" s="83" t="s">
        <v>1496</v>
      </c>
      <c r="D74" s="43">
        <v>13512.89</v>
      </c>
    </row>
    <row r="75" spans="1:5" ht="14.25" customHeight="1" outlineLevel="1">
      <c r="A75" s="200" t="s">
        <v>1715</v>
      </c>
      <c r="B75" s="193"/>
      <c r="C75" s="193"/>
      <c r="D75" s="195">
        <f>SUM(D76:D83)</f>
        <v>8011.719999999999</v>
      </c>
      <c r="E75" s="62"/>
    </row>
    <row r="76" spans="1:4" ht="13.5" customHeight="1" outlineLevel="2">
      <c r="A76" s="83" t="s">
        <v>87</v>
      </c>
      <c r="B76" s="83" t="s">
        <v>1578</v>
      </c>
      <c r="C76" s="83" t="s">
        <v>88</v>
      </c>
      <c r="D76" s="106">
        <v>1007</v>
      </c>
    </row>
    <row r="77" spans="1:4" ht="15" outlineLevel="2">
      <c r="A77" s="83" t="s">
        <v>2</v>
      </c>
      <c r="B77" s="83" t="s">
        <v>1579</v>
      </c>
      <c r="C77" s="83" t="s">
        <v>2267</v>
      </c>
      <c r="D77" s="106">
        <v>3503.58</v>
      </c>
    </row>
    <row r="78" spans="1:4" ht="15" outlineLevel="2">
      <c r="A78" s="83" t="s">
        <v>139</v>
      </c>
      <c r="B78" s="83" t="s">
        <v>1580</v>
      </c>
      <c r="C78" s="83" t="s">
        <v>2398</v>
      </c>
      <c r="D78" s="106">
        <v>578.08</v>
      </c>
    </row>
    <row r="79" spans="1:4" ht="15" outlineLevel="2">
      <c r="A79" s="83" t="s">
        <v>1678</v>
      </c>
      <c r="B79" s="83" t="s">
        <v>1581</v>
      </c>
      <c r="C79" s="83" t="s">
        <v>609</v>
      </c>
      <c r="D79" s="106">
        <v>513.59</v>
      </c>
    </row>
    <row r="80" spans="1:4" ht="15" outlineLevel="2">
      <c r="A80" s="83" t="s">
        <v>102</v>
      </c>
      <c r="B80" s="83" t="s">
        <v>1582</v>
      </c>
      <c r="C80" s="83" t="s">
        <v>110</v>
      </c>
      <c r="D80" s="106">
        <v>1001.37</v>
      </c>
    </row>
    <row r="81" spans="1:4" ht="15" outlineLevel="2">
      <c r="A81" s="83" t="s">
        <v>109</v>
      </c>
      <c r="B81" s="83" t="s">
        <v>1585</v>
      </c>
      <c r="C81" s="83" t="s">
        <v>110</v>
      </c>
      <c r="D81" s="106">
        <v>761.69</v>
      </c>
    </row>
    <row r="82" spans="1:4" ht="15" outlineLevel="2">
      <c r="A82" s="83" t="s">
        <v>206</v>
      </c>
      <c r="B82" s="83" t="s">
        <v>1587</v>
      </c>
      <c r="C82" s="83" t="s">
        <v>207</v>
      </c>
      <c r="D82" s="43">
        <v>278.3</v>
      </c>
    </row>
    <row r="83" spans="1:4" ht="15" outlineLevel="2">
      <c r="A83" s="83" t="s">
        <v>1958</v>
      </c>
      <c r="B83" s="83" t="s">
        <v>1588</v>
      </c>
      <c r="C83" s="83" t="s">
        <v>1960</v>
      </c>
      <c r="D83" s="43">
        <v>368.11</v>
      </c>
    </row>
    <row r="84" spans="1:5" ht="15" outlineLevel="1">
      <c r="A84" s="200" t="s">
        <v>1595</v>
      </c>
      <c r="B84" s="193"/>
      <c r="C84" s="117"/>
      <c r="D84" s="195">
        <f>SUM(D85:D99)</f>
        <v>53578.69</v>
      </c>
      <c r="E84" s="62"/>
    </row>
    <row r="85" spans="1:4" ht="15" outlineLevel="2">
      <c r="A85" s="83" t="s">
        <v>104</v>
      </c>
      <c r="B85" s="83" t="s">
        <v>1583</v>
      </c>
      <c r="C85" s="83" t="s">
        <v>1926</v>
      </c>
      <c r="D85" s="106">
        <v>1074.83</v>
      </c>
    </row>
    <row r="86" spans="1:4" ht="15" outlineLevel="2">
      <c r="A86" s="83" t="s">
        <v>111</v>
      </c>
      <c r="B86" s="83" t="s">
        <v>1585</v>
      </c>
      <c r="C86" s="83" t="s">
        <v>112</v>
      </c>
      <c r="D86" s="106">
        <v>19779</v>
      </c>
    </row>
    <row r="87" spans="1:4" ht="15" outlineLevel="2">
      <c r="A87" s="83" t="s">
        <v>120</v>
      </c>
      <c r="B87" s="83" t="s">
        <v>1586</v>
      </c>
      <c r="C87" s="83" t="s">
        <v>1925</v>
      </c>
      <c r="D87" s="106">
        <v>1579</v>
      </c>
    </row>
    <row r="88" spans="1:4" ht="15" outlineLevel="2">
      <c r="A88" s="83" t="s">
        <v>120</v>
      </c>
      <c r="B88" s="83" t="s">
        <v>1586</v>
      </c>
      <c r="C88" s="83" t="s">
        <v>1330</v>
      </c>
      <c r="D88" s="106">
        <v>1579</v>
      </c>
    </row>
    <row r="89" spans="1:4" ht="15" outlineLevel="2">
      <c r="A89" s="83" t="s">
        <v>1181</v>
      </c>
      <c r="B89" s="83" t="s">
        <v>1587</v>
      </c>
      <c r="C89" s="83" t="s">
        <v>1187</v>
      </c>
      <c r="D89" s="106">
        <v>143.88</v>
      </c>
    </row>
    <row r="90" spans="1:4" ht="15" outlineLevel="2">
      <c r="A90" s="83" t="s">
        <v>2200</v>
      </c>
      <c r="B90" s="83" t="s">
        <v>1577</v>
      </c>
      <c r="C90" s="83" t="s">
        <v>2201</v>
      </c>
      <c r="D90" s="106">
        <v>106.7</v>
      </c>
    </row>
    <row r="91" spans="1:4" ht="15" outlineLevel="2">
      <c r="A91" s="83" t="s">
        <v>64</v>
      </c>
      <c r="B91" s="83" t="s">
        <v>1577</v>
      </c>
      <c r="C91" s="83" t="s">
        <v>375</v>
      </c>
      <c r="D91" s="106">
        <v>577.1</v>
      </c>
    </row>
    <row r="92" spans="1:4" ht="15" outlineLevel="2">
      <c r="A92" s="83" t="s">
        <v>2008</v>
      </c>
      <c r="B92" s="83" t="s">
        <v>1577</v>
      </c>
      <c r="C92" s="83" t="s">
        <v>2010</v>
      </c>
      <c r="D92" s="106">
        <v>343.6</v>
      </c>
    </row>
    <row r="93" spans="1:4" ht="17.25" customHeight="1" outlineLevel="2">
      <c r="A93" s="83" t="s">
        <v>1061</v>
      </c>
      <c r="B93" s="83" t="s">
        <v>1578</v>
      </c>
      <c r="C93" s="83" t="s">
        <v>1559</v>
      </c>
      <c r="D93" s="106">
        <v>208.77</v>
      </c>
    </row>
    <row r="94" spans="1:4" ht="15" outlineLevel="2">
      <c r="A94" s="83" t="s">
        <v>133</v>
      </c>
      <c r="B94" s="83" t="s">
        <v>1579</v>
      </c>
      <c r="C94" s="83" t="s">
        <v>1988</v>
      </c>
      <c r="D94" s="106">
        <v>128.66</v>
      </c>
    </row>
    <row r="95" spans="1:4" ht="15" outlineLevel="2">
      <c r="A95" s="83" t="s">
        <v>1703</v>
      </c>
      <c r="B95" s="83" t="s">
        <v>57</v>
      </c>
      <c r="C95" s="83" t="s">
        <v>45</v>
      </c>
      <c r="D95" s="106">
        <v>747</v>
      </c>
    </row>
    <row r="96" spans="1:4" ht="15" outlineLevel="2">
      <c r="A96" s="83" t="s">
        <v>1253</v>
      </c>
      <c r="B96" s="83" t="s">
        <v>1582</v>
      </c>
      <c r="C96" s="83" t="s">
        <v>1925</v>
      </c>
      <c r="D96" s="106">
        <v>179.98</v>
      </c>
    </row>
    <row r="97" spans="1:4" ht="15" outlineLevel="2">
      <c r="A97" s="83" t="s">
        <v>104</v>
      </c>
      <c r="B97" s="83" t="s">
        <v>1583</v>
      </c>
      <c r="C97" s="83" t="s">
        <v>1926</v>
      </c>
      <c r="D97" s="106">
        <v>1137.17</v>
      </c>
    </row>
    <row r="98" spans="1:4" ht="15" outlineLevel="2">
      <c r="A98" s="83" t="s">
        <v>111</v>
      </c>
      <c r="B98" s="83" t="s">
        <v>1585</v>
      </c>
      <c r="C98" s="83" t="s">
        <v>1644</v>
      </c>
      <c r="D98" s="106">
        <v>19779</v>
      </c>
    </row>
    <row r="99" spans="1:4" ht="15.75" customHeight="1" outlineLevel="2">
      <c r="A99" s="83" t="s">
        <v>988</v>
      </c>
      <c r="B99" s="83" t="s">
        <v>1588</v>
      </c>
      <c r="C99" s="83" t="s">
        <v>599</v>
      </c>
      <c r="D99" s="43">
        <v>6215</v>
      </c>
    </row>
    <row r="100" spans="1:5" ht="15" outlineLevel="1">
      <c r="A100" s="117" t="s">
        <v>1718</v>
      </c>
      <c r="B100" s="117"/>
      <c r="C100" s="117"/>
      <c r="D100" s="195">
        <f>D101+D102+D103+D104+D105+D106+D107+D108+D109+D110+D111</f>
        <v>19554.41</v>
      </c>
      <c r="E100" s="62"/>
    </row>
    <row r="101" spans="1:4" ht="15" outlineLevel="2">
      <c r="A101" s="83" t="s">
        <v>83</v>
      </c>
      <c r="B101" s="83" t="s">
        <v>1577</v>
      </c>
      <c r="C101" s="83" t="s">
        <v>84</v>
      </c>
      <c r="D101" s="106">
        <v>1976.8</v>
      </c>
    </row>
    <row r="102" spans="1:4" ht="15" outlineLevel="2">
      <c r="A102" s="83" t="s">
        <v>1721</v>
      </c>
      <c r="B102" s="83" t="s">
        <v>1577</v>
      </c>
      <c r="C102" s="83" t="s">
        <v>1535</v>
      </c>
      <c r="D102" s="106">
        <v>299.54</v>
      </c>
    </row>
    <row r="103" spans="1:4" ht="15" outlineLevel="2">
      <c r="A103" s="83" t="s">
        <v>1267</v>
      </c>
      <c r="B103" s="83" t="s">
        <v>1577</v>
      </c>
      <c r="C103" s="83" t="s">
        <v>1495</v>
      </c>
      <c r="D103" s="106">
        <v>318.24</v>
      </c>
    </row>
    <row r="104" spans="1:4" ht="15" outlineLevel="2">
      <c r="A104" s="83" t="s">
        <v>2</v>
      </c>
      <c r="B104" s="83" t="s">
        <v>1577</v>
      </c>
      <c r="C104" s="83" t="s">
        <v>1897</v>
      </c>
      <c r="D104" s="106">
        <v>1965.55</v>
      </c>
    </row>
    <row r="105" spans="1:4" ht="15" outlineLevel="2">
      <c r="A105" s="83" t="s">
        <v>2</v>
      </c>
      <c r="B105" s="83" t="s">
        <v>57</v>
      </c>
      <c r="C105" s="83" t="s">
        <v>934</v>
      </c>
      <c r="D105" s="43">
        <v>134.4</v>
      </c>
    </row>
    <row r="106" spans="1:4" ht="15" outlineLevel="2">
      <c r="A106" s="83" t="s">
        <v>100</v>
      </c>
      <c r="B106" s="83" t="s">
        <v>1581</v>
      </c>
      <c r="C106" s="83" t="s">
        <v>615</v>
      </c>
      <c r="D106" s="43">
        <v>2668.56</v>
      </c>
    </row>
    <row r="107" spans="1:4" ht="15" outlineLevel="2">
      <c r="A107" s="83" t="s">
        <v>2</v>
      </c>
      <c r="B107" s="83" t="s">
        <v>1581</v>
      </c>
      <c r="C107" s="83" t="s">
        <v>2390</v>
      </c>
      <c r="D107" s="43">
        <v>1916.98</v>
      </c>
    </row>
    <row r="108" spans="1:4" ht="13.5" customHeight="1" outlineLevel="2">
      <c r="A108" s="83" t="s">
        <v>445</v>
      </c>
      <c r="B108" s="83" t="s">
        <v>1585</v>
      </c>
      <c r="C108" s="83" t="s">
        <v>597</v>
      </c>
      <c r="D108" s="43">
        <v>7740</v>
      </c>
    </row>
    <row r="109" spans="1:4" ht="15" outlineLevel="2">
      <c r="A109" s="83" t="s">
        <v>113</v>
      </c>
      <c r="B109" s="83" t="s">
        <v>1586</v>
      </c>
      <c r="C109" s="83" t="s">
        <v>114</v>
      </c>
      <c r="D109" s="106">
        <v>1113</v>
      </c>
    </row>
    <row r="110" spans="1:4" ht="15" outlineLevel="2">
      <c r="A110" s="83" t="s">
        <v>776</v>
      </c>
      <c r="B110" s="83" t="s">
        <v>1587</v>
      </c>
      <c r="C110" s="83" t="s">
        <v>1552</v>
      </c>
      <c r="D110" s="43">
        <v>384.93</v>
      </c>
    </row>
    <row r="111" spans="1:5" ht="14.25" customHeight="1" outlineLevel="2">
      <c r="A111" s="89" t="s">
        <v>1292</v>
      </c>
      <c r="B111" s="83" t="s">
        <v>1588</v>
      </c>
      <c r="C111" s="120" t="s">
        <v>598</v>
      </c>
      <c r="D111" s="43">
        <v>1036.41</v>
      </c>
      <c r="E111" s="60"/>
    </row>
    <row r="112" spans="1:5" ht="14.25" outlineLevel="2">
      <c r="A112" s="296" t="s">
        <v>1560</v>
      </c>
      <c r="B112" s="297"/>
      <c r="C112" s="298"/>
      <c r="D112" s="195">
        <v>3166.66</v>
      </c>
      <c r="E112" s="60"/>
    </row>
    <row r="113" spans="1:5" ht="14.25">
      <c r="A113" s="299" t="s">
        <v>1714</v>
      </c>
      <c r="B113" s="300"/>
      <c r="C113" s="301"/>
      <c r="D113" s="195">
        <f>1.46*3817.2*12</f>
        <v>66877.34399999998</v>
      </c>
      <c r="E113" s="60"/>
    </row>
    <row r="114" spans="1:5" ht="14.25">
      <c r="A114" s="299" t="s">
        <v>0</v>
      </c>
      <c r="B114" s="300"/>
      <c r="C114" s="301"/>
      <c r="D114" s="195">
        <f>0.1*3817.2*12</f>
        <v>4580.64</v>
      </c>
      <c r="E114" s="60"/>
    </row>
    <row r="115" spans="1:5" ht="12.75" customHeight="1">
      <c r="A115" s="273" t="s">
        <v>255</v>
      </c>
      <c r="B115" s="273"/>
      <c r="C115" s="273"/>
      <c r="D115" s="121">
        <f>0.94*3817.2*12</f>
        <v>43058.015999999996</v>
      </c>
      <c r="E115" s="63"/>
    </row>
    <row r="116" spans="1:5" ht="12.75" customHeight="1">
      <c r="A116" s="270" t="s">
        <v>59</v>
      </c>
      <c r="B116" s="270"/>
      <c r="C116" s="270"/>
      <c r="D116" s="43">
        <f>1.57*3817.2*12</f>
        <v>71916.048</v>
      </c>
      <c r="E116" s="63"/>
    </row>
    <row r="117" spans="1:5" ht="12.75" customHeight="1">
      <c r="A117" s="270" t="s">
        <v>256</v>
      </c>
      <c r="B117" s="270"/>
      <c r="C117" s="270"/>
      <c r="D117" s="43">
        <f>(D119+D120)*10.3/100</f>
        <v>101202.64176000001</v>
      </c>
      <c r="E117" s="63"/>
    </row>
    <row r="118" spans="1:5" ht="12.75" customHeight="1">
      <c r="A118" s="291" t="s">
        <v>659</v>
      </c>
      <c r="B118" s="291"/>
      <c r="C118" s="291"/>
      <c r="D118" s="44">
        <f>D117+D116+D115+D12+D3</f>
        <v>821157.9497599999</v>
      </c>
      <c r="E118" s="63">
        <v>1</v>
      </c>
    </row>
    <row r="119" spans="1:5" ht="12.75" customHeight="1">
      <c r="A119" s="290" t="s">
        <v>258</v>
      </c>
      <c r="B119" s="290"/>
      <c r="C119" s="290"/>
      <c r="D119" s="122">
        <v>863453.28</v>
      </c>
      <c r="E119" s="63">
        <v>2</v>
      </c>
    </row>
    <row r="120" spans="1:5" ht="12.75" customHeight="1">
      <c r="A120" s="290" t="s">
        <v>259</v>
      </c>
      <c r="B120" s="290"/>
      <c r="C120" s="290"/>
      <c r="D120" s="122">
        <v>119096.64</v>
      </c>
      <c r="E120" s="63">
        <v>3</v>
      </c>
    </row>
    <row r="121" spans="1:5" ht="12.75" customHeight="1">
      <c r="A121" s="290" t="s">
        <v>1516</v>
      </c>
      <c r="B121" s="290"/>
      <c r="C121" s="290"/>
      <c r="D121" s="123">
        <v>2690945.72</v>
      </c>
      <c r="E121" s="64">
        <v>4</v>
      </c>
    </row>
    <row r="122" spans="1:5" ht="13.5" customHeight="1">
      <c r="A122" s="290" t="s">
        <v>1517</v>
      </c>
      <c r="B122" s="290"/>
      <c r="C122" s="290"/>
      <c r="D122" s="123">
        <v>2244685.3</v>
      </c>
      <c r="E122" s="64">
        <v>5</v>
      </c>
    </row>
    <row r="123" spans="1:5" ht="25.5" customHeight="1">
      <c r="A123" s="291" t="s">
        <v>1518</v>
      </c>
      <c r="B123" s="291"/>
      <c r="C123" s="291"/>
      <c r="D123" s="124">
        <f>'[2]Комсомольский 4'!$E$117+D118</f>
        <v>2665715.87976</v>
      </c>
      <c r="E123" s="64">
        <v>6</v>
      </c>
    </row>
    <row r="124" spans="1:5" ht="12.75" customHeight="1">
      <c r="A124" s="290" t="s">
        <v>1519</v>
      </c>
      <c r="B124" s="290"/>
      <c r="C124" s="290"/>
      <c r="D124" s="123">
        <v>372756.1</v>
      </c>
      <c r="E124" s="64">
        <v>7</v>
      </c>
    </row>
    <row r="125" spans="1:5" ht="12.75" customHeight="1">
      <c r="A125" s="290" t="s">
        <v>733</v>
      </c>
      <c r="B125" s="290"/>
      <c r="C125" s="290"/>
      <c r="D125" s="123">
        <v>310889.2</v>
      </c>
      <c r="E125" s="64">
        <v>8</v>
      </c>
    </row>
    <row r="126" spans="1:5" ht="12.75" customHeight="1">
      <c r="A126" s="291" t="s">
        <v>734</v>
      </c>
      <c r="B126" s="291"/>
      <c r="C126" s="291"/>
      <c r="D126" s="124">
        <f>'[2]Комсомольский 4'!$E$120</f>
        <v>880433</v>
      </c>
      <c r="E126" s="64">
        <v>9</v>
      </c>
    </row>
    <row r="127" spans="1:5" ht="12.75" customHeight="1">
      <c r="A127" s="290" t="s">
        <v>260</v>
      </c>
      <c r="B127" s="290"/>
      <c r="C127" s="290"/>
      <c r="D127" s="122">
        <v>777547.79</v>
      </c>
      <c r="E127" s="63">
        <v>10</v>
      </c>
    </row>
    <row r="128" spans="1:5" ht="12.75" customHeight="1">
      <c r="A128" s="290" t="s">
        <v>735</v>
      </c>
      <c r="B128" s="290"/>
      <c r="C128" s="290"/>
      <c r="D128" s="122">
        <v>107247.64</v>
      </c>
      <c r="E128" s="63">
        <v>11</v>
      </c>
    </row>
    <row r="129" spans="1:5" ht="12.75" customHeight="1">
      <c r="A129" s="291" t="s">
        <v>736</v>
      </c>
      <c r="B129" s="291"/>
      <c r="C129" s="291"/>
      <c r="D129" s="44">
        <v>0</v>
      </c>
      <c r="E129" s="63">
        <v>12</v>
      </c>
    </row>
    <row r="130" spans="1:5" ht="16.5" customHeight="1">
      <c r="A130" s="292" t="s">
        <v>737</v>
      </c>
      <c r="B130" s="292"/>
      <c r="C130" s="292"/>
      <c r="D130" s="45">
        <f>D121-D123</f>
        <v>25229.84024000028</v>
      </c>
      <c r="E130" s="63">
        <v>13</v>
      </c>
    </row>
    <row r="131" spans="1:5" ht="21.75" customHeight="1">
      <c r="A131" s="292" t="s">
        <v>738</v>
      </c>
      <c r="B131" s="292"/>
      <c r="C131" s="292"/>
      <c r="D131" s="45">
        <f>D124-D126</f>
        <v>-507676.9</v>
      </c>
      <c r="E131" s="63">
        <v>14</v>
      </c>
    </row>
    <row r="132" spans="1:5" ht="25.5" customHeight="1">
      <c r="A132" s="292" t="s">
        <v>2273</v>
      </c>
      <c r="B132" s="292"/>
      <c r="C132" s="292"/>
      <c r="D132" s="45">
        <f>D122-D123</f>
        <v>-421030.5797600001</v>
      </c>
      <c r="E132" s="63">
        <v>15</v>
      </c>
    </row>
    <row r="133" spans="2:5" ht="15">
      <c r="B133" s="125"/>
      <c r="C133" s="125"/>
      <c r="D133" s="126"/>
      <c r="E133" s="60"/>
    </row>
    <row r="134" spans="4:7" ht="15">
      <c r="D134" s="90"/>
      <c r="F134" s="37"/>
      <c r="G134" s="38" t="s">
        <v>490</v>
      </c>
    </row>
    <row r="135" spans="4:7" ht="15">
      <c r="D135" s="90"/>
      <c r="F135" s="40" t="s">
        <v>491</v>
      </c>
      <c r="G135" s="41" t="s">
        <v>492</v>
      </c>
    </row>
    <row r="136" spans="4:7" ht="15">
      <c r="D136" s="90"/>
      <c r="F136" s="37"/>
      <c r="G136" s="41" t="s">
        <v>493</v>
      </c>
    </row>
    <row r="137" spans="4:7" ht="26.25">
      <c r="D137" s="90"/>
      <c r="F137" s="37"/>
      <c r="G137" s="41" t="s">
        <v>494</v>
      </c>
    </row>
    <row r="138" spans="4:7" ht="15">
      <c r="D138" s="90"/>
      <c r="F138" s="37"/>
      <c r="G138" s="41" t="s">
        <v>495</v>
      </c>
    </row>
    <row r="139" spans="4:7" ht="15">
      <c r="D139" s="90"/>
      <c r="F139" s="37"/>
      <c r="G139" s="41" t="s">
        <v>496</v>
      </c>
    </row>
    <row r="140" spans="4:7" ht="15">
      <c r="D140" s="90"/>
      <c r="G140" s="41" t="s">
        <v>497</v>
      </c>
    </row>
    <row r="141" spans="4:7" ht="39">
      <c r="D141" s="90"/>
      <c r="G141" s="41" t="s">
        <v>498</v>
      </c>
    </row>
    <row r="142" ht="15">
      <c r="D142" s="90"/>
    </row>
    <row r="143" ht="15">
      <c r="D143" s="90"/>
    </row>
    <row r="144" ht="15">
      <c r="D144" s="90"/>
    </row>
  </sheetData>
  <sheetProtection/>
  <mergeCells count="22">
    <mergeCell ref="A131:C131"/>
    <mergeCell ref="A132:C132"/>
    <mergeCell ref="A125:C125"/>
    <mergeCell ref="A126:C126"/>
    <mergeCell ref="A127:C127"/>
    <mergeCell ref="A128:C128"/>
    <mergeCell ref="A119:C119"/>
    <mergeCell ref="A120:C120"/>
    <mergeCell ref="A12:C12"/>
    <mergeCell ref="A112:C112"/>
    <mergeCell ref="A113:C113"/>
    <mergeCell ref="A114:C114"/>
    <mergeCell ref="A115:C115"/>
    <mergeCell ref="A116:C116"/>
    <mergeCell ref="A117:C117"/>
    <mergeCell ref="A118:C118"/>
    <mergeCell ref="A121:C121"/>
    <mergeCell ref="A122:C122"/>
    <mergeCell ref="A129:C129"/>
    <mergeCell ref="A130:C130"/>
    <mergeCell ref="A123:C123"/>
    <mergeCell ref="A124:C124"/>
  </mergeCells>
  <printOptions/>
  <pageMargins left="0.28" right="0.2" top="0.36" bottom="0.25" header="0.27" footer="0.17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17"/>
  <sheetViews>
    <sheetView zoomScalePageLayoutView="0" workbookViewId="0" topLeftCell="A1">
      <selection activeCell="H114" sqref="H114:H117"/>
    </sheetView>
  </sheetViews>
  <sheetFormatPr defaultColWidth="13.421875" defaultRowHeight="12.75" outlineLevelRow="2"/>
  <cols>
    <col min="1" max="1" width="1.28515625" style="1" customWidth="1"/>
    <col min="2" max="2" width="11.8515625" style="1" customWidth="1"/>
    <col min="3" max="3" width="14.7109375" style="1" customWidth="1"/>
    <col min="4" max="4" width="79.281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6.5" customHeight="1" thickBot="1">
      <c r="A1" s="258" t="s">
        <v>2222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E4+E6+E8</f>
        <v>49391.79</v>
      </c>
    </row>
    <row r="4" spans="1:5" ht="13.5" customHeight="1" outlineLevel="1">
      <c r="A4" s="255" t="s">
        <v>1597</v>
      </c>
      <c r="B4" s="256"/>
      <c r="C4" s="256"/>
      <c r="D4" s="257"/>
      <c r="E4" s="105">
        <f>SUM(E5:E5)</f>
        <v>44008</v>
      </c>
    </row>
    <row r="5" spans="1:6" ht="15" outlineLevel="2">
      <c r="A5" s="81"/>
      <c r="B5" s="84" t="s">
        <v>1886</v>
      </c>
      <c r="C5" s="84" t="s">
        <v>1586</v>
      </c>
      <c r="D5" s="84" t="s">
        <v>1887</v>
      </c>
      <c r="E5" s="106">
        <v>44008</v>
      </c>
      <c r="F5" s="14"/>
    </row>
    <row r="6" spans="1:5" ht="13.5" customHeight="1" outlineLevel="1">
      <c r="A6" s="255" t="s">
        <v>1598</v>
      </c>
      <c r="B6" s="256"/>
      <c r="C6" s="256"/>
      <c r="D6" s="257"/>
      <c r="E6" s="105">
        <f>SUM(E7:E7)</f>
        <v>2210.18</v>
      </c>
    </row>
    <row r="7" spans="1:6" ht="12" customHeight="1" outlineLevel="2">
      <c r="A7" s="81"/>
      <c r="B7" s="84" t="s">
        <v>242</v>
      </c>
      <c r="C7" s="84" t="s">
        <v>1579</v>
      </c>
      <c r="D7" s="84" t="s">
        <v>245</v>
      </c>
      <c r="E7" s="106">
        <v>2210.18</v>
      </c>
      <c r="F7" s="14"/>
    </row>
    <row r="8" spans="1:5" ht="12" customHeight="1" outlineLevel="1">
      <c r="A8" s="255" t="s">
        <v>1599</v>
      </c>
      <c r="B8" s="256"/>
      <c r="C8" s="256"/>
      <c r="D8" s="257"/>
      <c r="E8" s="105">
        <f>SUM(E9:E9)</f>
        <v>3173.61</v>
      </c>
    </row>
    <row r="9" spans="1:6" ht="14.25" customHeight="1" outlineLevel="2">
      <c r="A9" s="42"/>
      <c r="B9" s="84" t="s">
        <v>2349</v>
      </c>
      <c r="C9" s="84" t="s">
        <v>1579</v>
      </c>
      <c r="D9" s="84" t="s">
        <v>2350</v>
      </c>
      <c r="E9" s="106">
        <v>3173.61</v>
      </c>
      <c r="F9" s="14"/>
    </row>
    <row r="10" spans="1:5" ht="13.5" customHeight="1">
      <c r="A10" s="91"/>
      <c r="B10" s="308"/>
      <c r="C10" s="308"/>
      <c r="D10" s="155" t="s">
        <v>1600</v>
      </c>
      <c r="E10" s="130">
        <f>E11+E18+E24+E36+E39+E44+E57+E58+E71+E73+E86+E92+E94+E95</f>
        <v>283230.28200000006</v>
      </c>
    </row>
    <row r="11" spans="1:5" ht="15" outlineLevel="1">
      <c r="A11" s="255" t="s">
        <v>1576</v>
      </c>
      <c r="B11" s="256"/>
      <c r="C11" s="256"/>
      <c r="D11" s="257"/>
      <c r="E11" s="105">
        <f>SUM(E12:E17)</f>
        <v>4628.490000000001</v>
      </c>
    </row>
    <row r="12" spans="1:6" ht="15" outlineLevel="2">
      <c r="A12" s="42"/>
      <c r="B12" s="83" t="s">
        <v>2314</v>
      </c>
      <c r="C12" s="83" t="s">
        <v>1579</v>
      </c>
      <c r="D12" s="83" t="s">
        <v>2319</v>
      </c>
      <c r="E12" s="106">
        <v>729.19</v>
      </c>
      <c r="F12" s="14"/>
    </row>
    <row r="13" spans="1:6" ht="15" outlineLevel="2">
      <c r="A13" s="42"/>
      <c r="B13" s="83" t="s">
        <v>2</v>
      </c>
      <c r="C13" s="83" t="s">
        <v>1580</v>
      </c>
      <c r="D13" s="83" t="s">
        <v>2277</v>
      </c>
      <c r="E13" s="106">
        <v>141.59</v>
      </c>
      <c r="F13" s="14"/>
    </row>
    <row r="14" spans="1:6" ht="22.5" customHeight="1" outlineLevel="2">
      <c r="A14" s="42"/>
      <c r="B14" s="83" t="s">
        <v>508</v>
      </c>
      <c r="C14" s="83" t="s">
        <v>1582</v>
      </c>
      <c r="D14" s="83" t="s">
        <v>509</v>
      </c>
      <c r="E14" s="106">
        <v>340.06</v>
      </c>
      <c r="F14" s="14"/>
    </row>
    <row r="15" spans="1:6" ht="15" outlineLevel="2">
      <c r="A15" s="42"/>
      <c r="B15" s="83" t="s">
        <v>1695</v>
      </c>
      <c r="C15" s="83" t="s">
        <v>1583</v>
      </c>
      <c r="D15" s="83" t="s">
        <v>1151</v>
      </c>
      <c r="E15" s="106">
        <v>1103.51</v>
      </c>
      <c r="F15" s="14"/>
    </row>
    <row r="16" spans="1:6" ht="15" outlineLevel="2">
      <c r="A16" s="42"/>
      <c r="B16" s="83" t="s">
        <v>1033</v>
      </c>
      <c r="C16" s="83" t="s">
        <v>1583</v>
      </c>
      <c r="D16" s="83" t="s">
        <v>509</v>
      </c>
      <c r="E16" s="106">
        <v>2153.84</v>
      </c>
      <c r="F16" s="14"/>
    </row>
    <row r="17" spans="1:6" ht="15" outlineLevel="2">
      <c r="A17" s="42"/>
      <c r="B17" s="83" t="s">
        <v>2</v>
      </c>
      <c r="C17" s="83" t="s">
        <v>1583</v>
      </c>
      <c r="D17" s="83" t="s">
        <v>855</v>
      </c>
      <c r="E17" s="106">
        <v>160.3</v>
      </c>
      <c r="F17" s="14"/>
    </row>
    <row r="18" spans="1:5" ht="15" outlineLevel="1">
      <c r="A18" s="255" t="s">
        <v>1589</v>
      </c>
      <c r="B18" s="256"/>
      <c r="C18" s="256"/>
      <c r="D18" s="257"/>
      <c r="E18" s="105">
        <f>SUM(E19:E23)</f>
        <v>11490.56</v>
      </c>
    </row>
    <row r="19" spans="1:6" ht="15" outlineLevel="2">
      <c r="A19" s="42"/>
      <c r="B19" s="83" t="s">
        <v>2181</v>
      </c>
      <c r="C19" s="83" t="s">
        <v>1579</v>
      </c>
      <c r="D19" s="83" t="s">
        <v>2333</v>
      </c>
      <c r="E19" s="106">
        <v>1418.68</v>
      </c>
      <c r="F19" s="14"/>
    </row>
    <row r="20" spans="1:6" ht="15" outlineLevel="2">
      <c r="A20" s="42"/>
      <c r="B20" s="83" t="s">
        <v>137</v>
      </c>
      <c r="C20" s="83" t="s">
        <v>1580</v>
      </c>
      <c r="D20" s="83" t="s">
        <v>1035</v>
      </c>
      <c r="E20" s="106">
        <v>4300.39</v>
      </c>
      <c r="F20" s="14"/>
    </row>
    <row r="21" spans="1:6" ht="30" outlineLevel="2">
      <c r="A21" s="42"/>
      <c r="B21" s="83" t="s">
        <v>1202</v>
      </c>
      <c r="C21" s="83" t="s">
        <v>1582</v>
      </c>
      <c r="D21" s="83" t="s">
        <v>1208</v>
      </c>
      <c r="E21" s="106">
        <v>3999.41</v>
      </c>
      <c r="F21" s="14"/>
    </row>
    <row r="22" spans="1:6" ht="15" outlineLevel="2">
      <c r="A22" s="42"/>
      <c r="B22" s="83" t="s">
        <v>42</v>
      </c>
      <c r="C22" s="83" t="s">
        <v>1583</v>
      </c>
      <c r="D22" s="83" t="s">
        <v>161</v>
      </c>
      <c r="E22" s="106">
        <v>1647.31</v>
      </c>
      <c r="F22" s="14"/>
    </row>
    <row r="23" spans="1:6" ht="15" outlineLevel="2">
      <c r="A23" s="42"/>
      <c r="B23" s="83" t="s">
        <v>26</v>
      </c>
      <c r="C23" s="83" t="s">
        <v>1583</v>
      </c>
      <c r="D23" s="83" t="s">
        <v>169</v>
      </c>
      <c r="E23" s="106">
        <v>124.77</v>
      </c>
      <c r="F23" s="14"/>
    </row>
    <row r="24" spans="1:5" ht="13.5" customHeight="1" outlineLevel="1">
      <c r="A24" s="255" t="s">
        <v>1590</v>
      </c>
      <c r="B24" s="256"/>
      <c r="C24" s="256"/>
      <c r="D24" s="257"/>
      <c r="E24" s="105">
        <f>SUM(E25:E33)</f>
        <v>39212.5</v>
      </c>
    </row>
    <row r="25" spans="1:6" ht="15" outlineLevel="2">
      <c r="A25" s="42"/>
      <c r="B25" s="88" t="s">
        <v>2</v>
      </c>
      <c r="C25" s="82" t="s">
        <v>1577</v>
      </c>
      <c r="D25" s="82" t="s">
        <v>1507</v>
      </c>
      <c r="E25" s="106">
        <v>113.4</v>
      </c>
      <c r="F25" s="14"/>
    </row>
    <row r="26" spans="1:6" ht="15" outlineLevel="2">
      <c r="A26" s="42"/>
      <c r="B26" s="87" t="s">
        <v>1489</v>
      </c>
      <c r="C26" s="83" t="s">
        <v>1580</v>
      </c>
      <c r="D26" s="83" t="s">
        <v>1618</v>
      </c>
      <c r="E26" s="106">
        <v>15317.83</v>
      </c>
      <c r="F26" s="14"/>
    </row>
    <row r="27" spans="1:6" ht="15" outlineLevel="2">
      <c r="A27" s="42"/>
      <c r="B27" s="87" t="s">
        <v>2</v>
      </c>
      <c r="C27" s="83" t="s">
        <v>1581</v>
      </c>
      <c r="D27" s="83" t="s">
        <v>939</v>
      </c>
      <c r="E27" s="106">
        <v>165.51</v>
      </c>
      <c r="F27" s="14"/>
    </row>
    <row r="28" spans="1:6" ht="45" outlineLevel="2">
      <c r="A28" s="42"/>
      <c r="B28" s="87" t="s">
        <v>931</v>
      </c>
      <c r="C28" s="83" t="s">
        <v>1584</v>
      </c>
      <c r="D28" s="83" t="s">
        <v>760</v>
      </c>
      <c r="E28" s="106">
        <v>11255.4</v>
      </c>
      <c r="F28" s="14"/>
    </row>
    <row r="29" spans="1:6" ht="30" outlineLevel="2">
      <c r="A29" s="42"/>
      <c r="B29" s="87" t="s">
        <v>1531</v>
      </c>
      <c r="C29" s="83" t="s">
        <v>1585</v>
      </c>
      <c r="D29" s="83" t="s">
        <v>1532</v>
      </c>
      <c r="E29" s="106">
        <v>1834</v>
      </c>
      <c r="F29" s="14"/>
    </row>
    <row r="30" spans="1:6" ht="15" outlineLevel="2">
      <c r="A30" s="42"/>
      <c r="B30" s="87" t="s">
        <v>2422</v>
      </c>
      <c r="C30" s="83" t="s">
        <v>1586</v>
      </c>
      <c r="D30" s="83" t="s">
        <v>2423</v>
      </c>
      <c r="E30" s="106">
        <v>6846</v>
      </c>
      <c r="F30" s="14"/>
    </row>
    <row r="31" spans="1:6" ht="30" outlineLevel="2">
      <c r="A31" s="42"/>
      <c r="B31" s="87" t="s">
        <v>192</v>
      </c>
      <c r="C31" s="83" t="s">
        <v>1586</v>
      </c>
      <c r="D31" s="83" t="s">
        <v>783</v>
      </c>
      <c r="E31" s="106">
        <v>2941.3</v>
      </c>
      <c r="F31" s="14"/>
    </row>
    <row r="32" spans="1:6" ht="15" outlineLevel="2">
      <c r="A32" s="42"/>
      <c r="B32" s="87" t="s">
        <v>1199</v>
      </c>
      <c r="C32" s="83" t="s">
        <v>1587</v>
      </c>
      <c r="D32" s="83" t="s">
        <v>1179</v>
      </c>
      <c r="E32" s="106">
        <v>91.06</v>
      </c>
      <c r="F32" s="14"/>
    </row>
    <row r="33" spans="1:6" ht="15" outlineLevel="2">
      <c r="A33" s="42"/>
      <c r="B33" s="87" t="s">
        <v>1372</v>
      </c>
      <c r="C33" s="83" t="s">
        <v>1588</v>
      </c>
      <c r="D33" s="83" t="s">
        <v>63</v>
      </c>
      <c r="E33" s="106">
        <v>648</v>
      </c>
      <c r="F33" s="14"/>
    </row>
    <row r="34" spans="1:5" ht="12.75" customHeight="1" outlineLevel="1">
      <c r="A34" s="255" t="s">
        <v>1591</v>
      </c>
      <c r="B34" s="256"/>
      <c r="C34" s="256"/>
      <c r="D34" s="257"/>
      <c r="E34" s="105">
        <f>SUM(E35:E35)</f>
        <v>2769.88</v>
      </c>
    </row>
    <row r="35" spans="1:6" ht="15" outlineLevel="2">
      <c r="A35" s="42"/>
      <c r="B35" s="87" t="s">
        <v>93</v>
      </c>
      <c r="C35" s="83" t="s">
        <v>1580</v>
      </c>
      <c r="D35" s="83" t="s">
        <v>1397</v>
      </c>
      <c r="E35" s="106">
        <v>2769.88</v>
      </c>
      <c r="F35" s="14"/>
    </row>
    <row r="36" spans="1:5" ht="15.75" customHeight="1" outlineLevel="1">
      <c r="A36" s="255" t="s">
        <v>1594</v>
      </c>
      <c r="B36" s="256"/>
      <c r="C36" s="256"/>
      <c r="D36" s="257"/>
      <c r="E36" s="105">
        <f>SUM(E37:E38)</f>
        <v>7546.42</v>
      </c>
    </row>
    <row r="37" spans="1:6" ht="15" outlineLevel="2">
      <c r="A37" s="42"/>
      <c r="B37" s="87" t="s">
        <v>22</v>
      </c>
      <c r="C37" s="83" t="s">
        <v>1578</v>
      </c>
      <c r="D37" s="83" t="s">
        <v>1502</v>
      </c>
      <c r="E37" s="106">
        <v>7090.42</v>
      </c>
      <c r="F37" s="14"/>
    </row>
    <row r="38" spans="1:6" ht="15" outlineLevel="2">
      <c r="A38" s="42"/>
      <c r="B38" s="87" t="s">
        <v>554</v>
      </c>
      <c r="C38" s="83" t="s">
        <v>1586</v>
      </c>
      <c r="D38" s="83" t="s">
        <v>553</v>
      </c>
      <c r="E38" s="106">
        <v>456</v>
      </c>
      <c r="F38" s="14"/>
    </row>
    <row r="39" spans="1:5" ht="14.25" customHeight="1" outlineLevel="1">
      <c r="A39" s="255" t="s">
        <v>1599</v>
      </c>
      <c r="B39" s="256"/>
      <c r="C39" s="256"/>
      <c r="D39" s="257"/>
      <c r="E39" s="105">
        <f>SUM(E40:E43)</f>
        <v>16676.99</v>
      </c>
    </row>
    <row r="40" spans="1:6" ht="15" outlineLevel="2">
      <c r="A40" s="42"/>
      <c r="B40" s="83" t="s">
        <v>1247</v>
      </c>
      <c r="C40" s="83" t="s">
        <v>1580</v>
      </c>
      <c r="D40" s="83" t="s">
        <v>1405</v>
      </c>
      <c r="E40" s="106">
        <v>3751.73</v>
      </c>
      <c r="F40" s="14"/>
    </row>
    <row r="41" spans="1:6" ht="15" outlineLevel="2">
      <c r="A41" s="42"/>
      <c r="B41" s="83" t="s">
        <v>95</v>
      </c>
      <c r="C41" s="83" t="s">
        <v>1033</v>
      </c>
      <c r="D41" s="83" t="s">
        <v>1084</v>
      </c>
      <c r="E41" s="106">
        <v>10180.11</v>
      </c>
      <c r="F41" s="14"/>
    </row>
    <row r="42" spans="1:6" ht="15" outlineLevel="2">
      <c r="A42" s="42"/>
      <c r="B42" s="83" t="s">
        <v>54</v>
      </c>
      <c r="C42" s="83" t="s">
        <v>1584</v>
      </c>
      <c r="D42" s="83" t="s">
        <v>2452</v>
      </c>
      <c r="E42" s="106">
        <v>1287</v>
      </c>
      <c r="F42" s="14"/>
    </row>
    <row r="43" spans="1:6" ht="15" outlineLevel="2">
      <c r="A43" s="42"/>
      <c r="B43" s="83" t="s">
        <v>1333</v>
      </c>
      <c r="C43" s="83" t="s">
        <v>1586</v>
      </c>
      <c r="D43" s="83" t="s">
        <v>1334</v>
      </c>
      <c r="E43" s="106">
        <v>1458.15</v>
      </c>
      <c r="F43" s="14"/>
    </row>
    <row r="44" spans="1:5" ht="15.75" customHeight="1" outlineLevel="1" collapsed="1">
      <c r="A44" s="255" t="s">
        <v>1713</v>
      </c>
      <c r="B44" s="256"/>
      <c r="C44" s="256"/>
      <c r="D44" s="257"/>
      <c r="E44" s="105">
        <f>SUM(E45:E56)</f>
        <v>112299.53000000001</v>
      </c>
    </row>
    <row r="45" spans="1:6" ht="15" hidden="1" outlineLevel="2">
      <c r="A45" s="42"/>
      <c r="B45" s="82"/>
      <c r="C45" s="82" t="s">
        <v>1577</v>
      </c>
      <c r="D45" s="82" t="s">
        <v>1496</v>
      </c>
      <c r="E45" s="106">
        <v>9526.49</v>
      </c>
      <c r="F45" s="14"/>
    </row>
    <row r="46" spans="1:6" ht="15" hidden="1" outlineLevel="2">
      <c r="A46" s="42"/>
      <c r="B46" s="83"/>
      <c r="C46" s="83" t="s">
        <v>1578</v>
      </c>
      <c r="D46" s="83" t="s">
        <v>1496</v>
      </c>
      <c r="E46" s="106">
        <v>9526.49</v>
      </c>
      <c r="F46" s="14"/>
    </row>
    <row r="47" spans="1:6" ht="15" hidden="1" outlineLevel="2">
      <c r="A47" s="42"/>
      <c r="B47" s="83"/>
      <c r="C47" s="83" t="s">
        <v>1579</v>
      </c>
      <c r="D47" s="83" t="s">
        <v>1496</v>
      </c>
      <c r="E47" s="106">
        <v>9526.49</v>
      </c>
      <c r="F47" s="14"/>
    </row>
    <row r="48" spans="1:6" ht="15" hidden="1" outlineLevel="2">
      <c r="A48" s="42"/>
      <c r="B48" s="83"/>
      <c r="C48" s="83" t="s">
        <v>1580</v>
      </c>
      <c r="D48" s="83" t="s">
        <v>1496</v>
      </c>
      <c r="E48" s="106">
        <v>9526.49</v>
      </c>
      <c r="F48" s="14"/>
    </row>
    <row r="49" spans="1:6" ht="15" hidden="1" outlineLevel="2">
      <c r="A49" s="42"/>
      <c r="B49" s="83"/>
      <c r="C49" s="83" t="s">
        <v>1581</v>
      </c>
      <c r="D49" s="83" t="s">
        <v>1496</v>
      </c>
      <c r="E49" s="106">
        <v>9122.82</v>
      </c>
      <c r="F49" s="14"/>
    </row>
    <row r="50" spans="1:6" ht="15" hidden="1" outlineLevel="2">
      <c r="A50" s="42"/>
      <c r="B50" s="83"/>
      <c r="C50" s="83" t="s">
        <v>1582</v>
      </c>
      <c r="D50" s="83" t="s">
        <v>1496</v>
      </c>
      <c r="E50" s="106">
        <v>9122.82</v>
      </c>
      <c r="F50" s="14"/>
    </row>
    <row r="51" spans="1:6" ht="15" hidden="1" outlineLevel="2">
      <c r="A51" s="42"/>
      <c r="B51" s="83"/>
      <c r="C51" s="83" t="s">
        <v>1583</v>
      </c>
      <c r="D51" s="83" t="s">
        <v>1496</v>
      </c>
      <c r="E51" s="106">
        <v>9122.82</v>
      </c>
      <c r="F51" s="14"/>
    </row>
    <row r="52" spans="1:6" ht="15" hidden="1" outlineLevel="2">
      <c r="A52" s="42"/>
      <c r="B52" s="83"/>
      <c r="C52" s="83" t="s">
        <v>1584</v>
      </c>
      <c r="D52" s="83" t="s">
        <v>1496</v>
      </c>
      <c r="E52" s="106">
        <v>9122.82</v>
      </c>
      <c r="F52" s="14"/>
    </row>
    <row r="53" spans="1:6" ht="15" hidden="1" outlineLevel="2">
      <c r="A53" s="42"/>
      <c r="B53" s="83"/>
      <c r="C53" s="83" t="s">
        <v>1585</v>
      </c>
      <c r="D53" s="83" t="s">
        <v>1496</v>
      </c>
      <c r="E53" s="106">
        <v>9122.82</v>
      </c>
      <c r="F53" s="14"/>
    </row>
    <row r="54" spans="1:6" ht="15" hidden="1" outlineLevel="2">
      <c r="A54" s="42"/>
      <c r="B54" s="83"/>
      <c r="C54" s="83" t="s">
        <v>1586</v>
      </c>
      <c r="D54" s="83" t="s">
        <v>1496</v>
      </c>
      <c r="E54" s="106">
        <v>9526.49</v>
      </c>
      <c r="F54" s="14"/>
    </row>
    <row r="55" spans="1:6" ht="15" hidden="1" outlineLevel="2">
      <c r="A55" s="42"/>
      <c r="B55" s="83"/>
      <c r="C55" s="83" t="s">
        <v>1587</v>
      </c>
      <c r="D55" s="83" t="s">
        <v>1496</v>
      </c>
      <c r="E55" s="106">
        <v>9526.49</v>
      </c>
      <c r="F55" s="14"/>
    </row>
    <row r="56" spans="1:6" ht="15" hidden="1" outlineLevel="2">
      <c r="A56" s="42"/>
      <c r="B56" s="89"/>
      <c r="C56" s="83" t="s">
        <v>1588</v>
      </c>
      <c r="D56" s="83" t="s">
        <v>1496</v>
      </c>
      <c r="E56" s="106">
        <v>9526.49</v>
      </c>
      <c r="F56" s="14"/>
    </row>
    <row r="57" spans="1:5" ht="14.25" customHeight="1" outlineLevel="1">
      <c r="A57" s="255" t="s">
        <v>1714</v>
      </c>
      <c r="B57" s="256"/>
      <c r="C57" s="256"/>
      <c r="D57" s="257"/>
      <c r="E57" s="105">
        <f>1.46*2691.1*12</f>
        <v>47148.072</v>
      </c>
    </row>
    <row r="58" spans="1:5" ht="15.75" customHeight="1" outlineLevel="1">
      <c r="A58" s="255" t="s">
        <v>1715</v>
      </c>
      <c r="B58" s="256"/>
      <c r="C58" s="256"/>
      <c r="D58" s="257"/>
      <c r="E58" s="105">
        <f>SUM(E59:E70)</f>
        <v>10347.949999999999</v>
      </c>
    </row>
    <row r="59" spans="1:6" ht="15" outlineLevel="2">
      <c r="A59" s="42"/>
      <c r="B59" s="83" t="s">
        <v>2132</v>
      </c>
      <c r="C59" s="83" t="s">
        <v>1579</v>
      </c>
      <c r="D59" s="83" t="s">
        <v>1500</v>
      </c>
      <c r="E59" s="106">
        <v>117.97</v>
      </c>
      <c r="F59" s="14"/>
    </row>
    <row r="60" spans="1:6" ht="15" outlineLevel="2">
      <c r="A60" s="42"/>
      <c r="B60" s="83" t="s">
        <v>2177</v>
      </c>
      <c r="C60" s="83" t="s">
        <v>1579</v>
      </c>
      <c r="D60" s="83" t="s">
        <v>1364</v>
      </c>
      <c r="E60" s="106">
        <v>3919.49</v>
      </c>
      <c r="F60" s="14"/>
    </row>
    <row r="61" spans="1:6" ht="15" outlineLevel="2">
      <c r="A61" s="42"/>
      <c r="B61" s="83" t="s">
        <v>139</v>
      </c>
      <c r="C61" s="83" t="s">
        <v>1580</v>
      </c>
      <c r="D61" s="83" t="s">
        <v>2233</v>
      </c>
      <c r="E61" s="106">
        <v>578.08</v>
      </c>
      <c r="F61" s="14"/>
    </row>
    <row r="62" spans="1:6" ht="15" outlineLevel="2">
      <c r="A62" s="42"/>
      <c r="B62" s="83" t="s">
        <v>1687</v>
      </c>
      <c r="C62" s="83" t="s">
        <v>1582</v>
      </c>
      <c r="D62" s="83" t="s">
        <v>1005</v>
      </c>
      <c r="E62" s="106">
        <v>1688</v>
      </c>
      <c r="F62" s="14"/>
    </row>
    <row r="63" spans="1:6" ht="30" outlineLevel="2">
      <c r="A63" s="42"/>
      <c r="B63" s="83" t="s">
        <v>761</v>
      </c>
      <c r="C63" s="83" t="s">
        <v>1582</v>
      </c>
      <c r="D63" s="83" t="s">
        <v>762</v>
      </c>
      <c r="E63" s="106">
        <v>250</v>
      </c>
      <c r="F63" s="14"/>
    </row>
    <row r="64" spans="1:6" ht="15" outlineLevel="2">
      <c r="A64" s="42"/>
      <c r="B64" s="83" t="s">
        <v>1258</v>
      </c>
      <c r="C64" s="83" t="s">
        <v>1583</v>
      </c>
      <c r="D64" s="83" t="s">
        <v>152</v>
      </c>
      <c r="E64" s="106">
        <v>1008.4</v>
      </c>
      <c r="F64" s="14"/>
    </row>
    <row r="65" spans="1:6" ht="15" outlineLevel="2">
      <c r="A65" s="42"/>
      <c r="B65" s="83" t="s">
        <v>1628</v>
      </c>
      <c r="C65" s="83" t="s">
        <v>1585</v>
      </c>
      <c r="D65" s="83" t="s">
        <v>110</v>
      </c>
      <c r="E65" s="106">
        <v>1843.97</v>
      </c>
      <c r="F65" s="14"/>
    </row>
    <row r="66" spans="1:6" ht="15" outlineLevel="2">
      <c r="A66" s="42"/>
      <c r="B66" s="83" t="s">
        <v>1069</v>
      </c>
      <c r="C66" s="83" t="s">
        <v>1588</v>
      </c>
      <c r="D66" s="83" t="s">
        <v>1070</v>
      </c>
      <c r="E66" s="106">
        <v>180</v>
      </c>
      <c r="F66" s="14"/>
    </row>
    <row r="67" spans="1:6" ht="15" outlineLevel="2">
      <c r="A67" s="42"/>
      <c r="B67" s="83" t="s">
        <v>206</v>
      </c>
      <c r="C67" s="83" t="s">
        <v>1587</v>
      </c>
      <c r="D67" s="83" t="s">
        <v>207</v>
      </c>
      <c r="E67" s="106">
        <v>278.3</v>
      </c>
      <c r="F67" s="14"/>
    </row>
    <row r="68" spans="1:6" ht="15" outlineLevel="2">
      <c r="A68" s="42"/>
      <c r="B68" s="83" t="s">
        <v>801</v>
      </c>
      <c r="C68" s="83" t="s">
        <v>1587</v>
      </c>
      <c r="D68" s="83" t="s">
        <v>1500</v>
      </c>
      <c r="E68" s="106">
        <v>48.5</v>
      </c>
      <c r="F68" s="14"/>
    </row>
    <row r="69" spans="1:6" ht="15" outlineLevel="2">
      <c r="A69" s="42"/>
      <c r="B69" s="83" t="s">
        <v>2003</v>
      </c>
      <c r="C69" s="83" t="s">
        <v>1588</v>
      </c>
      <c r="D69" s="83" t="s">
        <v>2073</v>
      </c>
      <c r="E69" s="106">
        <v>67.13</v>
      </c>
      <c r="F69" s="14"/>
    </row>
    <row r="70" spans="1:6" ht="15" outlineLevel="2">
      <c r="A70" s="42"/>
      <c r="B70" s="83" t="s">
        <v>1958</v>
      </c>
      <c r="C70" s="83" t="s">
        <v>1588</v>
      </c>
      <c r="D70" s="83" t="s">
        <v>1960</v>
      </c>
      <c r="E70" s="106">
        <v>368.11</v>
      </c>
      <c r="F70" s="14"/>
    </row>
    <row r="71" spans="1:5" ht="15.75" customHeight="1" outlineLevel="1">
      <c r="A71" s="255" t="s">
        <v>1716</v>
      </c>
      <c r="B71" s="256"/>
      <c r="C71" s="256"/>
      <c r="D71" s="257"/>
      <c r="E71" s="105">
        <f>SUM(E72:E72)</f>
        <v>776.95</v>
      </c>
    </row>
    <row r="72" spans="1:6" ht="15" outlineLevel="2">
      <c r="A72" s="42"/>
      <c r="B72" s="82" t="s">
        <v>1267</v>
      </c>
      <c r="C72" s="82" t="s">
        <v>1577</v>
      </c>
      <c r="D72" s="82" t="s">
        <v>865</v>
      </c>
      <c r="E72" s="106">
        <v>776.95</v>
      </c>
      <c r="F72" s="14"/>
    </row>
    <row r="73" spans="1:5" ht="16.5" customHeight="1" outlineLevel="1">
      <c r="A73" s="255" t="s">
        <v>1595</v>
      </c>
      <c r="B73" s="256"/>
      <c r="C73" s="256"/>
      <c r="D73" s="257"/>
      <c r="E73" s="105">
        <f>SUM(E74:E85)</f>
        <v>12390.949999999999</v>
      </c>
    </row>
    <row r="74" spans="1:6" ht="15" outlineLevel="2">
      <c r="A74" s="42"/>
      <c r="B74" s="82" t="s">
        <v>64</v>
      </c>
      <c r="C74" s="82" t="s">
        <v>1577</v>
      </c>
      <c r="D74" s="82" t="s">
        <v>374</v>
      </c>
      <c r="E74" s="106">
        <v>463</v>
      </c>
      <c r="F74" s="14"/>
    </row>
    <row r="75" spans="1:6" ht="15" outlineLevel="2">
      <c r="A75" s="42"/>
      <c r="B75" s="83" t="s">
        <v>133</v>
      </c>
      <c r="C75" s="83" t="s">
        <v>1579</v>
      </c>
      <c r="D75" s="83" t="s">
        <v>2322</v>
      </c>
      <c r="E75" s="106">
        <v>257.59</v>
      </c>
      <c r="F75" s="14"/>
    </row>
    <row r="76" spans="1:6" ht="15" outlineLevel="2">
      <c r="A76" s="42"/>
      <c r="B76" s="83" t="s">
        <v>1992</v>
      </c>
      <c r="C76" s="83" t="s">
        <v>1579</v>
      </c>
      <c r="D76" s="83" t="s">
        <v>1608</v>
      </c>
      <c r="E76" s="106">
        <v>221.7</v>
      </c>
      <c r="F76" s="14"/>
    </row>
    <row r="77" spans="1:6" ht="15" outlineLevel="2">
      <c r="A77" s="42"/>
      <c r="B77" s="83" t="s">
        <v>15</v>
      </c>
      <c r="C77" s="83" t="s">
        <v>1579</v>
      </c>
      <c r="D77" s="83" t="s">
        <v>1710</v>
      </c>
      <c r="E77" s="106">
        <v>184.84</v>
      </c>
      <c r="F77" s="14"/>
    </row>
    <row r="78" spans="1:6" ht="15" outlineLevel="2">
      <c r="A78" s="42"/>
      <c r="B78" s="83" t="s">
        <v>478</v>
      </c>
      <c r="C78" s="83" t="s">
        <v>1580</v>
      </c>
      <c r="D78" s="83" t="s">
        <v>483</v>
      </c>
      <c r="E78" s="106">
        <v>37.08</v>
      </c>
      <c r="F78" s="14"/>
    </row>
    <row r="79" spans="1:6" ht="15" outlineLevel="2">
      <c r="A79" s="42"/>
      <c r="B79" s="83" t="s">
        <v>1244</v>
      </c>
      <c r="C79" s="83" t="s">
        <v>1580</v>
      </c>
      <c r="D79" s="83" t="s">
        <v>667</v>
      </c>
      <c r="E79" s="106">
        <v>502.63</v>
      </c>
      <c r="F79" s="14"/>
    </row>
    <row r="80" spans="1:6" ht="15" outlineLevel="2">
      <c r="A80" s="42"/>
      <c r="B80" s="83" t="s">
        <v>1026</v>
      </c>
      <c r="C80" s="83" t="s">
        <v>1581</v>
      </c>
      <c r="D80" s="83" t="s">
        <v>674</v>
      </c>
      <c r="E80" s="106">
        <v>576</v>
      </c>
      <c r="F80" s="14"/>
    </row>
    <row r="81" spans="1:6" ht="15" outlineLevel="2">
      <c r="A81" s="42"/>
      <c r="B81" s="83" t="s">
        <v>312</v>
      </c>
      <c r="C81" s="83" t="s">
        <v>1583</v>
      </c>
      <c r="D81" s="83" t="s">
        <v>1316</v>
      </c>
      <c r="E81" s="106">
        <v>81.94</v>
      </c>
      <c r="F81" s="14"/>
    </row>
    <row r="82" spans="1:6" ht="15" outlineLevel="2">
      <c r="A82" s="42"/>
      <c r="B82" s="83" t="s">
        <v>104</v>
      </c>
      <c r="C82" s="83" t="s">
        <v>1583</v>
      </c>
      <c r="D82" s="83" t="s">
        <v>1926</v>
      </c>
      <c r="E82" s="106">
        <v>313.04</v>
      </c>
      <c r="F82" s="14"/>
    </row>
    <row r="83" spans="1:6" ht="15" outlineLevel="2">
      <c r="A83" s="42"/>
      <c r="B83" s="83" t="s">
        <v>1318</v>
      </c>
      <c r="C83" s="83" t="s">
        <v>1583</v>
      </c>
      <c r="D83" s="83" t="s">
        <v>1320</v>
      </c>
      <c r="E83" s="106">
        <v>237.97</v>
      </c>
      <c r="F83" s="14"/>
    </row>
    <row r="84" spans="1:6" ht="15" outlineLevel="2">
      <c r="A84" s="42"/>
      <c r="B84" s="83" t="s">
        <v>526</v>
      </c>
      <c r="C84" s="83" t="s">
        <v>1586</v>
      </c>
      <c r="D84" s="83" t="s">
        <v>525</v>
      </c>
      <c r="E84" s="106">
        <v>9472</v>
      </c>
      <c r="F84" s="14"/>
    </row>
    <row r="85" spans="1:6" ht="15" outlineLevel="2">
      <c r="A85" s="42"/>
      <c r="B85" s="83" t="s">
        <v>1192</v>
      </c>
      <c r="C85" s="83" t="s">
        <v>1587</v>
      </c>
      <c r="D85" s="83" t="s">
        <v>1195</v>
      </c>
      <c r="E85" s="106">
        <v>43.16</v>
      </c>
      <c r="F85" s="14"/>
    </row>
    <row r="86" spans="1:5" ht="13.5" customHeight="1" outlineLevel="1">
      <c r="A86" s="255" t="s">
        <v>1718</v>
      </c>
      <c r="B86" s="256"/>
      <c r="C86" s="256"/>
      <c r="D86" s="257"/>
      <c r="E86" s="105">
        <f>SUM(E87:E91)</f>
        <v>8231.89</v>
      </c>
    </row>
    <row r="87" spans="1:6" ht="15" outlineLevel="2">
      <c r="A87" s="42"/>
      <c r="B87" s="82" t="s">
        <v>83</v>
      </c>
      <c r="C87" s="82" t="s">
        <v>1577</v>
      </c>
      <c r="D87" s="82" t="s">
        <v>353</v>
      </c>
      <c r="E87" s="106">
        <v>329.6</v>
      </c>
      <c r="F87" s="14"/>
    </row>
    <row r="88" spans="1:6" ht="15" outlineLevel="2">
      <c r="A88" s="42"/>
      <c r="B88" s="83" t="s">
        <v>425</v>
      </c>
      <c r="C88" s="83" t="s">
        <v>1579</v>
      </c>
      <c r="D88" s="83" t="s">
        <v>201</v>
      </c>
      <c r="E88" s="106">
        <v>2387.56</v>
      </c>
      <c r="F88" s="14"/>
    </row>
    <row r="89" spans="1:6" ht="15" outlineLevel="2">
      <c r="A89" s="42"/>
      <c r="B89" s="83" t="s">
        <v>2</v>
      </c>
      <c r="C89" s="83" t="s">
        <v>1581</v>
      </c>
      <c r="D89" s="83" t="s">
        <v>721</v>
      </c>
      <c r="E89" s="106">
        <v>120.73</v>
      </c>
      <c r="F89" s="14"/>
    </row>
    <row r="90" spans="1:6" ht="15" outlineLevel="2">
      <c r="A90" s="42"/>
      <c r="B90" s="83" t="s">
        <v>551</v>
      </c>
      <c r="C90" s="83" t="s">
        <v>1586</v>
      </c>
      <c r="D90" s="83" t="s">
        <v>552</v>
      </c>
      <c r="E90" s="106">
        <v>3520</v>
      </c>
      <c r="F90" s="14"/>
    </row>
    <row r="91" spans="1:6" ht="30" outlineLevel="2">
      <c r="A91" s="42"/>
      <c r="B91" s="89" t="s">
        <v>998</v>
      </c>
      <c r="C91" s="83" t="s">
        <v>1588</v>
      </c>
      <c r="D91" s="120" t="s">
        <v>999</v>
      </c>
      <c r="E91" s="106">
        <v>1874</v>
      </c>
      <c r="F91" s="14"/>
    </row>
    <row r="92" spans="1:5" ht="13.5" customHeight="1">
      <c r="A92" s="255" t="s">
        <v>1719</v>
      </c>
      <c r="B92" s="256"/>
      <c r="C92" s="256"/>
      <c r="D92" s="257"/>
      <c r="E92" s="105">
        <f>SUM(E93:E93)</f>
        <v>6084</v>
      </c>
    </row>
    <row r="93" spans="1:6" ht="30" outlineLevel="1">
      <c r="A93" s="42"/>
      <c r="B93" s="84" t="s">
        <v>707</v>
      </c>
      <c r="C93" s="84" t="s">
        <v>1583</v>
      </c>
      <c r="D93" s="84" t="s">
        <v>708</v>
      </c>
      <c r="E93" s="106">
        <v>6084</v>
      </c>
      <c r="F93" s="14"/>
    </row>
    <row r="94" spans="1:6" ht="13.5" customHeight="1" outlineLevel="1">
      <c r="A94" s="255" t="s">
        <v>0</v>
      </c>
      <c r="B94" s="256"/>
      <c r="C94" s="256"/>
      <c r="D94" s="257"/>
      <c r="E94" s="105">
        <f>0.1*2691.1*12</f>
        <v>3229.32</v>
      </c>
      <c r="F94" s="14"/>
    </row>
    <row r="95" spans="1:6" ht="14.25" customHeight="1" outlineLevel="1">
      <c r="A95" s="255" t="s">
        <v>1369</v>
      </c>
      <c r="B95" s="256"/>
      <c r="C95" s="256"/>
      <c r="D95" s="257"/>
      <c r="E95" s="105">
        <v>3166.66</v>
      </c>
      <c r="F95" s="14"/>
    </row>
    <row r="96" spans="1:6" ht="15">
      <c r="A96" s="42"/>
      <c r="B96" s="270" t="s">
        <v>59</v>
      </c>
      <c r="C96" s="270"/>
      <c r="D96" s="270"/>
      <c r="E96" s="43">
        <f>1.57*2691*12</f>
        <v>50698.44</v>
      </c>
      <c r="F96" s="14"/>
    </row>
    <row r="97" spans="1:6" ht="15">
      <c r="A97" s="42"/>
      <c r="B97" s="270" t="s">
        <v>256</v>
      </c>
      <c r="C97" s="270"/>
      <c r="D97" s="270"/>
      <c r="E97" s="43">
        <f>10.3*(E99+E100)/100</f>
        <v>67869.60048000001</v>
      </c>
      <c r="F97" s="14"/>
    </row>
    <row r="98" spans="1:5" ht="15">
      <c r="A98" s="42"/>
      <c r="B98" s="272" t="s">
        <v>659</v>
      </c>
      <c r="C98" s="272"/>
      <c r="D98" s="272"/>
      <c r="E98" s="44">
        <f>E97+E96+E10+E3</f>
        <v>451190.11248000007</v>
      </c>
    </row>
    <row r="99" spans="1:6" ht="15">
      <c r="A99" s="42"/>
      <c r="B99" s="270" t="s">
        <v>258</v>
      </c>
      <c r="C99" s="270"/>
      <c r="D99" s="270"/>
      <c r="E99" s="43">
        <v>574947.12</v>
      </c>
      <c r="F99" s="14"/>
    </row>
    <row r="100" spans="1:5" ht="15">
      <c r="A100" s="42"/>
      <c r="B100" s="270" t="s">
        <v>259</v>
      </c>
      <c r="C100" s="270"/>
      <c r="D100" s="270"/>
      <c r="E100" s="43">
        <v>83981.04</v>
      </c>
    </row>
    <row r="101" spans="1:5" ht="15">
      <c r="A101" s="42"/>
      <c r="B101" s="270" t="s">
        <v>660</v>
      </c>
      <c r="C101" s="270"/>
      <c r="D101" s="270"/>
      <c r="E101" s="43">
        <v>1797552.32</v>
      </c>
    </row>
    <row r="102" spans="1:5" ht="15">
      <c r="A102" s="42"/>
      <c r="B102" s="270" t="s">
        <v>2340</v>
      </c>
      <c r="C102" s="270"/>
      <c r="D102" s="270"/>
      <c r="E102" s="43">
        <v>1491212.23</v>
      </c>
    </row>
    <row r="103" spans="1:5" ht="15">
      <c r="A103" s="42"/>
      <c r="B103" s="272" t="s">
        <v>2341</v>
      </c>
      <c r="C103" s="272"/>
      <c r="D103" s="272"/>
      <c r="E103" s="44">
        <f>'[5]Мира 28'!$E$97+E98</f>
        <v>1424102.01248</v>
      </c>
    </row>
    <row r="104" spans="1:5" ht="15">
      <c r="A104" s="42"/>
      <c r="B104" s="270" t="s">
        <v>732</v>
      </c>
      <c r="C104" s="270"/>
      <c r="D104" s="270"/>
      <c r="E104" s="43">
        <v>540142.33</v>
      </c>
    </row>
    <row r="105" spans="1:5" ht="15">
      <c r="A105" s="42"/>
      <c r="B105" s="270" t="s">
        <v>733</v>
      </c>
      <c r="C105" s="270"/>
      <c r="D105" s="270"/>
      <c r="E105" s="43">
        <v>78897.19</v>
      </c>
    </row>
    <row r="106" spans="1:5" ht="15">
      <c r="A106" s="42"/>
      <c r="B106" s="272" t="s">
        <v>734</v>
      </c>
      <c r="C106" s="272"/>
      <c r="D106" s="272"/>
      <c r="E106" s="44">
        <f>E109+'[5]Мира 28'!$E$100</f>
        <v>0</v>
      </c>
    </row>
    <row r="107" spans="1:5" ht="15">
      <c r="A107" s="42"/>
      <c r="B107" s="270" t="s">
        <v>260</v>
      </c>
      <c r="C107" s="270"/>
      <c r="D107" s="270"/>
      <c r="E107" s="43">
        <v>262885.6</v>
      </c>
    </row>
    <row r="108" spans="1:5" ht="15">
      <c r="A108" s="42"/>
      <c r="B108" s="270" t="s">
        <v>735</v>
      </c>
      <c r="C108" s="270"/>
      <c r="D108" s="270"/>
      <c r="E108" s="43">
        <v>218067.8</v>
      </c>
    </row>
    <row r="109" spans="1:5" ht="15">
      <c r="A109" s="42"/>
      <c r="B109" s="272" t="s">
        <v>736</v>
      </c>
      <c r="C109" s="272"/>
      <c r="D109" s="272"/>
      <c r="E109" s="44">
        <v>0</v>
      </c>
    </row>
    <row r="110" spans="1:5" ht="28.5" customHeight="1">
      <c r="A110" s="42"/>
      <c r="B110" s="271" t="s">
        <v>737</v>
      </c>
      <c r="C110" s="271"/>
      <c r="D110" s="271"/>
      <c r="E110" s="45">
        <f>E101-E103</f>
        <v>373450.30752000003</v>
      </c>
    </row>
    <row r="111" spans="1:5" ht="30.75" customHeight="1">
      <c r="A111" s="42"/>
      <c r="B111" s="271" t="s">
        <v>738</v>
      </c>
      <c r="C111" s="271"/>
      <c r="D111" s="271"/>
      <c r="E111" s="45">
        <f>E104-E106</f>
        <v>540142.33</v>
      </c>
    </row>
    <row r="112" spans="1:5" ht="27" customHeight="1">
      <c r="A112" s="42"/>
      <c r="B112" s="271" t="s">
        <v>739</v>
      </c>
      <c r="C112" s="271"/>
      <c r="D112" s="271"/>
      <c r="E112" s="45">
        <f>E102-E103</f>
        <v>67110.21751999995</v>
      </c>
    </row>
    <row r="113" ht="12.75">
      <c r="E113" s="39"/>
    </row>
    <row r="114" spans="5:8" ht="12.75">
      <c r="E114" s="39"/>
      <c r="H114" s="12" t="s">
        <v>492</v>
      </c>
    </row>
    <row r="115" spans="5:8" ht="12.75">
      <c r="E115" s="39"/>
      <c r="H115" s="12" t="s">
        <v>493</v>
      </c>
    </row>
    <row r="116" spans="5:8" ht="38.25">
      <c r="E116" s="39"/>
      <c r="H116" s="12" t="s">
        <v>494</v>
      </c>
    </row>
    <row r="117" spans="5:8" ht="12.75">
      <c r="E117" s="39"/>
      <c r="H117" s="12" t="s">
        <v>495</v>
      </c>
    </row>
  </sheetData>
  <sheetProtection/>
  <mergeCells count="38">
    <mergeCell ref="B108:D108"/>
    <mergeCell ref="B3:C3"/>
    <mergeCell ref="B10:C10"/>
    <mergeCell ref="B96:D96"/>
    <mergeCell ref="A8:D8"/>
    <mergeCell ref="A11:D11"/>
    <mergeCell ref="A18:D18"/>
    <mergeCell ref="A24:D24"/>
    <mergeCell ref="A34:D34"/>
    <mergeCell ref="A36:D36"/>
    <mergeCell ref="B103:D103"/>
    <mergeCell ref="B109:D109"/>
    <mergeCell ref="B102:D102"/>
    <mergeCell ref="B112:D112"/>
    <mergeCell ref="B104:D104"/>
    <mergeCell ref="B105:D105"/>
    <mergeCell ref="B106:D106"/>
    <mergeCell ref="B107:D107"/>
    <mergeCell ref="B110:D110"/>
    <mergeCell ref="B111:D111"/>
    <mergeCell ref="A1:E1"/>
    <mergeCell ref="A4:D4"/>
    <mergeCell ref="A6:D6"/>
    <mergeCell ref="B101:D101"/>
    <mergeCell ref="B99:D99"/>
    <mergeCell ref="B98:D98"/>
    <mergeCell ref="B97:D97"/>
    <mergeCell ref="B100:D100"/>
    <mergeCell ref="A39:D39"/>
    <mergeCell ref="A44:D44"/>
    <mergeCell ref="A57:D57"/>
    <mergeCell ref="A58:D58"/>
    <mergeCell ref="A94:D94"/>
    <mergeCell ref="A95:D95"/>
    <mergeCell ref="A71:D71"/>
    <mergeCell ref="A73:D73"/>
    <mergeCell ref="A86:D86"/>
    <mergeCell ref="A92:D92"/>
  </mergeCells>
  <printOptions/>
  <pageMargins left="0.31496062992125984" right="0.15748031496062992" top="0.31496062992125984" bottom="0.1968503937007874" header="0.2362204724409449" footer="0.1574803149606299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2"/>
  <sheetViews>
    <sheetView zoomScalePageLayoutView="0" workbookViewId="0" topLeftCell="A79">
      <selection activeCell="C107" sqref="C107"/>
    </sheetView>
  </sheetViews>
  <sheetFormatPr defaultColWidth="13.421875" defaultRowHeight="12.75" outlineLevelRow="2"/>
  <cols>
    <col min="1" max="1" width="1.57421875" style="1" customWidth="1"/>
    <col min="2" max="2" width="11.8515625" style="1" customWidth="1"/>
    <col min="3" max="3" width="14.7109375" style="1" customWidth="1"/>
    <col min="4" max="4" width="80.71093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6.5" customHeight="1" thickBot="1">
      <c r="A1" s="258" t="s">
        <v>2243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E4+E7</f>
        <v>36398.55</v>
      </c>
    </row>
    <row r="4" spans="1:5" ht="13.5" customHeight="1" outlineLevel="1">
      <c r="A4" s="255" t="s">
        <v>1594</v>
      </c>
      <c r="B4" s="256"/>
      <c r="C4" s="256"/>
      <c r="D4" s="257"/>
      <c r="E4" s="105">
        <f>E5+E6</f>
        <v>34188.37</v>
      </c>
    </row>
    <row r="5" spans="1:6" ht="15" outlineLevel="2">
      <c r="A5" s="81"/>
      <c r="B5" s="82" t="s">
        <v>268</v>
      </c>
      <c r="C5" s="82" t="s">
        <v>1577</v>
      </c>
      <c r="D5" s="82" t="s">
        <v>269</v>
      </c>
      <c r="E5" s="106">
        <v>21659.9</v>
      </c>
      <c r="F5" s="14"/>
    </row>
    <row r="6" spans="1:6" ht="15" outlineLevel="2">
      <c r="A6" s="81"/>
      <c r="B6" s="84" t="s">
        <v>1476</v>
      </c>
      <c r="C6" s="84" t="s">
        <v>1578</v>
      </c>
      <c r="D6" s="84" t="s">
        <v>1477</v>
      </c>
      <c r="E6" s="106">
        <v>12528.47</v>
      </c>
      <c r="F6" s="14"/>
    </row>
    <row r="7" spans="1:5" ht="12" customHeight="1" outlineLevel="1">
      <c r="A7" s="255" t="s">
        <v>1598</v>
      </c>
      <c r="B7" s="256"/>
      <c r="C7" s="256"/>
      <c r="D7" s="257"/>
      <c r="E7" s="105">
        <f>SUM(E8:E8)</f>
        <v>2210.18</v>
      </c>
    </row>
    <row r="8" spans="1:6" ht="13.5" customHeight="1" outlineLevel="2">
      <c r="A8" s="81"/>
      <c r="B8" s="84" t="s">
        <v>242</v>
      </c>
      <c r="C8" s="84" t="s">
        <v>1579</v>
      </c>
      <c r="D8" s="84" t="s">
        <v>245</v>
      </c>
      <c r="E8" s="106">
        <v>2210.18</v>
      </c>
      <c r="F8" s="14"/>
    </row>
    <row r="9" spans="1:5" ht="13.5" customHeight="1">
      <c r="A9" s="91"/>
      <c r="B9" s="308"/>
      <c r="C9" s="308"/>
      <c r="D9" s="155" t="s">
        <v>1600</v>
      </c>
      <c r="E9" s="130">
        <f>E10+E16+E19+E27+E33+E35+E41+E54+E55+E65+E67+E75+E79+E80</f>
        <v>262114.79600000003</v>
      </c>
    </row>
    <row r="10" spans="1:5" ht="15" customHeight="1" outlineLevel="1">
      <c r="A10" s="255" t="s">
        <v>1576</v>
      </c>
      <c r="B10" s="256"/>
      <c r="C10" s="256"/>
      <c r="D10" s="257"/>
      <c r="E10" s="105">
        <f>SUM(E11:E15)</f>
        <v>3095.4400000000005</v>
      </c>
    </row>
    <row r="11" spans="1:6" ht="15" outlineLevel="2">
      <c r="A11" s="42"/>
      <c r="B11" s="83" t="s">
        <v>2</v>
      </c>
      <c r="C11" s="83" t="s">
        <v>1580</v>
      </c>
      <c r="D11" s="83" t="s">
        <v>2277</v>
      </c>
      <c r="E11" s="106">
        <v>141.59</v>
      </c>
      <c r="F11" s="14"/>
    </row>
    <row r="12" spans="1:6" ht="32.25" customHeight="1" outlineLevel="2">
      <c r="A12" s="42"/>
      <c r="B12" s="83" t="s">
        <v>508</v>
      </c>
      <c r="C12" s="83" t="s">
        <v>1582</v>
      </c>
      <c r="D12" s="83" t="s">
        <v>509</v>
      </c>
      <c r="E12" s="106">
        <v>406.18</v>
      </c>
      <c r="F12" s="14"/>
    </row>
    <row r="13" spans="1:6" ht="15" outlineLevel="2">
      <c r="A13" s="42"/>
      <c r="B13" s="83" t="s">
        <v>163</v>
      </c>
      <c r="C13" s="83" t="s">
        <v>1583</v>
      </c>
      <c r="D13" s="83" t="s">
        <v>170</v>
      </c>
      <c r="E13" s="106">
        <v>233.53</v>
      </c>
      <c r="F13" s="14"/>
    </row>
    <row r="14" spans="1:6" ht="90" outlineLevel="2">
      <c r="A14" s="42"/>
      <c r="B14" s="83" t="s">
        <v>714</v>
      </c>
      <c r="C14" s="83" t="s">
        <v>1583</v>
      </c>
      <c r="D14" s="83" t="s">
        <v>509</v>
      </c>
      <c r="E14" s="106">
        <v>2153.84</v>
      </c>
      <c r="F14" s="14"/>
    </row>
    <row r="15" spans="1:6" ht="15" outlineLevel="2">
      <c r="A15" s="42"/>
      <c r="B15" s="83" t="s">
        <v>2</v>
      </c>
      <c r="C15" s="83" t="s">
        <v>1583</v>
      </c>
      <c r="D15" s="83" t="s">
        <v>855</v>
      </c>
      <c r="E15" s="106">
        <v>160.3</v>
      </c>
      <c r="F15" s="14"/>
    </row>
    <row r="16" spans="1:5" ht="15" customHeight="1" outlineLevel="1">
      <c r="A16" s="255" t="s">
        <v>1589</v>
      </c>
      <c r="B16" s="256"/>
      <c r="C16" s="256"/>
      <c r="D16" s="257"/>
      <c r="E16" s="105">
        <f>SUM(E17:E18)</f>
        <v>2626.4900000000002</v>
      </c>
    </row>
    <row r="17" spans="1:6" ht="15" outlineLevel="2">
      <c r="A17" s="42"/>
      <c r="B17" s="83" t="s">
        <v>1494</v>
      </c>
      <c r="C17" s="83" t="s">
        <v>1581</v>
      </c>
      <c r="D17" s="83" t="s">
        <v>618</v>
      </c>
      <c r="E17" s="106">
        <v>32.05</v>
      </c>
      <c r="F17" s="14"/>
    </row>
    <row r="18" spans="1:6" ht="15" outlineLevel="2">
      <c r="A18" s="42"/>
      <c r="B18" s="83" t="s">
        <v>56</v>
      </c>
      <c r="C18" s="83" t="s">
        <v>1584</v>
      </c>
      <c r="D18" s="83" t="s">
        <v>2457</v>
      </c>
      <c r="E18" s="106">
        <v>2594.44</v>
      </c>
      <c r="F18" s="14"/>
    </row>
    <row r="19" spans="1:5" ht="12.75" customHeight="1" outlineLevel="1">
      <c r="A19" s="255" t="s">
        <v>1590</v>
      </c>
      <c r="B19" s="256"/>
      <c r="C19" s="256"/>
      <c r="D19" s="257"/>
      <c r="E19" s="105">
        <f>SUM(E20:E26)</f>
        <v>17948.14</v>
      </c>
    </row>
    <row r="20" spans="1:6" ht="15" outlineLevel="2">
      <c r="A20" s="42"/>
      <c r="B20" s="88" t="s">
        <v>2</v>
      </c>
      <c r="C20" s="82" t="s">
        <v>1577</v>
      </c>
      <c r="D20" s="82" t="s">
        <v>1507</v>
      </c>
      <c r="E20" s="106">
        <v>113.4</v>
      </c>
      <c r="F20" s="14"/>
    </row>
    <row r="21" spans="1:6" ht="15" outlineLevel="2">
      <c r="A21" s="42"/>
      <c r="B21" s="87" t="s">
        <v>2</v>
      </c>
      <c r="C21" s="83" t="s">
        <v>1581</v>
      </c>
      <c r="D21" s="83" t="s">
        <v>939</v>
      </c>
      <c r="E21" s="106">
        <v>165.51</v>
      </c>
      <c r="F21" s="14"/>
    </row>
    <row r="22" spans="1:6" ht="45" outlineLevel="2">
      <c r="A22" s="42"/>
      <c r="B22" s="87" t="s">
        <v>931</v>
      </c>
      <c r="C22" s="83" t="s">
        <v>1584</v>
      </c>
      <c r="D22" s="83" t="s">
        <v>760</v>
      </c>
      <c r="E22" s="106">
        <v>11255.4</v>
      </c>
      <c r="F22" s="14"/>
    </row>
    <row r="23" spans="1:6" ht="15" outlineLevel="2">
      <c r="A23" s="42"/>
      <c r="B23" s="87" t="s">
        <v>2471</v>
      </c>
      <c r="C23" s="83" t="s">
        <v>1585</v>
      </c>
      <c r="D23" s="83" t="s">
        <v>2244</v>
      </c>
      <c r="E23" s="106">
        <v>2157</v>
      </c>
      <c r="F23" s="14"/>
    </row>
    <row r="24" spans="1:6" ht="15.75" customHeight="1" outlineLevel="2">
      <c r="A24" s="42"/>
      <c r="B24" s="87" t="s">
        <v>486</v>
      </c>
      <c r="C24" s="83" t="s">
        <v>1586</v>
      </c>
      <c r="D24" s="83" t="s">
        <v>485</v>
      </c>
      <c r="E24" s="106">
        <v>1270</v>
      </c>
      <c r="F24" s="14"/>
    </row>
    <row r="25" spans="1:6" ht="30" outlineLevel="2">
      <c r="A25" s="42"/>
      <c r="B25" s="87" t="s">
        <v>192</v>
      </c>
      <c r="C25" s="83" t="s">
        <v>1586</v>
      </c>
      <c r="D25" s="83" t="s">
        <v>783</v>
      </c>
      <c r="E25" s="106">
        <v>2941.3</v>
      </c>
      <c r="F25" s="14"/>
    </row>
    <row r="26" spans="1:6" ht="15" outlineLevel="2">
      <c r="A26" s="42"/>
      <c r="B26" s="87" t="s">
        <v>1199</v>
      </c>
      <c r="C26" s="83" t="s">
        <v>1587</v>
      </c>
      <c r="D26" s="83" t="s">
        <v>1179</v>
      </c>
      <c r="E26" s="106">
        <v>45.53</v>
      </c>
      <c r="F26" s="14"/>
    </row>
    <row r="27" spans="1:5" ht="13.5" customHeight="1" outlineLevel="1">
      <c r="A27" s="255" t="s">
        <v>1591</v>
      </c>
      <c r="B27" s="256"/>
      <c r="C27" s="256"/>
      <c r="D27" s="257"/>
      <c r="E27" s="105">
        <f>SUM(E28:E32)</f>
        <v>4548.87</v>
      </c>
    </row>
    <row r="28" spans="1:6" ht="15" outlineLevel="2">
      <c r="A28" s="42"/>
      <c r="B28" s="87" t="s">
        <v>1064</v>
      </c>
      <c r="C28" s="83" t="s">
        <v>1579</v>
      </c>
      <c r="D28" s="83" t="s">
        <v>605</v>
      </c>
      <c r="E28" s="106">
        <v>485.5</v>
      </c>
      <c r="F28" s="14"/>
    </row>
    <row r="29" spans="1:6" ht="15" outlineLevel="2">
      <c r="A29" s="42"/>
      <c r="B29" s="87" t="s">
        <v>1238</v>
      </c>
      <c r="C29" s="83" t="s">
        <v>1579</v>
      </c>
      <c r="D29" s="83" t="s">
        <v>501</v>
      </c>
      <c r="E29" s="106">
        <v>215.6</v>
      </c>
      <c r="F29" s="14"/>
    </row>
    <row r="30" spans="1:6" ht="15" outlineLevel="2">
      <c r="A30" s="42"/>
      <c r="B30" s="87" t="s">
        <v>184</v>
      </c>
      <c r="C30" s="83" t="s">
        <v>1580</v>
      </c>
      <c r="D30" s="83" t="s">
        <v>765</v>
      </c>
      <c r="E30" s="106">
        <v>1616.32</v>
      </c>
      <c r="F30" s="14"/>
    </row>
    <row r="31" spans="1:6" ht="15" outlineLevel="2">
      <c r="A31" s="42"/>
      <c r="B31" s="87" t="s">
        <v>39</v>
      </c>
      <c r="C31" s="83" t="s">
        <v>1582</v>
      </c>
      <c r="D31" s="83" t="s">
        <v>1057</v>
      </c>
      <c r="E31" s="106">
        <v>719.23</v>
      </c>
      <c r="F31" s="14"/>
    </row>
    <row r="32" spans="1:6" ht="12.75" customHeight="1" outlineLevel="2">
      <c r="A32" s="42"/>
      <c r="B32" s="87" t="s">
        <v>52</v>
      </c>
      <c r="C32" s="83" t="s">
        <v>1583</v>
      </c>
      <c r="D32" s="83" t="s">
        <v>1156</v>
      </c>
      <c r="E32" s="106">
        <v>1512.22</v>
      </c>
      <c r="F32" s="14"/>
    </row>
    <row r="33" spans="1:5" ht="12.75" customHeight="1" outlineLevel="1">
      <c r="A33" s="255" t="s">
        <v>1594</v>
      </c>
      <c r="B33" s="256"/>
      <c r="C33" s="256"/>
      <c r="D33" s="257"/>
      <c r="E33" s="105">
        <f>SUM(E34:E34)</f>
        <v>8935.21</v>
      </c>
    </row>
    <row r="34" spans="1:6" ht="15" outlineLevel="2">
      <c r="A34" s="42"/>
      <c r="B34" s="87" t="s">
        <v>22</v>
      </c>
      <c r="C34" s="83" t="s">
        <v>1578</v>
      </c>
      <c r="D34" s="83" t="s">
        <v>1502</v>
      </c>
      <c r="E34" s="106">
        <v>8935.21</v>
      </c>
      <c r="F34" s="14"/>
    </row>
    <row r="35" spans="1:5" ht="13.5" customHeight="1" outlineLevel="1">
      <c r="A35" s="255" t="s">
        <v>1599</v>
      </c>
      <c r="B35" s="256"/>
      <c r="C35" s="256"/>
      <c r="D35" s="257"/>
      <c r="E35" s="105">
        <f>SUM(E36:E40)</f>
        <v>13138.56</v>
      </c>
    </row>
    <row r="36" spans="1:6" ht="15" outlineLevel="2">
      <c r="A36" s="42"/>
      <c r="B36" s="83" t="s">
        <v>1399</v>
      </c>
      <c r="C36" s="83" t="s">
        <v>1580</v>
      </c>
      <c r="D36" s="83" t="s">
        <v>1402</v>
      </c>
      <c r="E36" s="106">
        <v>3509.32</v>
      </c>
      <c r="F36" s="14"/>
    </row>
    <row r="37" spans="1:6" ht="15" outlineLevel="2">
      <c r="A37" s="42"/>
      <c r="B37" s="83" t="s">
        <v>54</v>
      </c>
      <c r="C37" s="83" t="s">
        <v>1584</v>
      </c>
      <c r="D37" s="83" t="s">
        <v>2453</v>
      </c>
      <c r="E37" s="106">
        <v>5155</v>
      </c>
      <c r="F37" s="14"/>
    </row>
    <row r="38" spans="1:6" ht="15" outlineLevel="2">
      <c r="A38" s="42"/>
      <c r="B38" s="83" t="s">
        <v>620</v>
      </c>
      <c r="C38" s="83" t="s">
        <v>1584</v>
      </c>
      <c r="D38" s="83" t="s">
        <v>624</v>
      </c>
      <c r="E38" s="106">
        <v>1246.6</v>
      </c>
      <c r="F38" s="14"/>
    </row>
    <row r="39" spans="1:6" ht="15" outlineLevel="2">
      <c r="A39" s="42"/>
      <c r="B39" s="83" t="s">
        <v>1129</v>
      </c>
      <c r="C39" s="83" t="s">
        <v>1587</v>
      </c>
      <c r="D39" s="83" t="s">
        <v>1130</v>
      </c>
      <c r="E39" s="106">
        <v>2128.64</v>
      </c>
      <c r="F39" s="14"/>
    </row>
    <row r="40" spans="1:6" ht="15" outlineLevel="2">
      <c r="A40" s="42"/>
      <c r="B40" s="83" t="s">
        <v>960</v>
      </c>
      <c r="C40" s="83" t="s">
        <v>1588</v>
      </c>
      <c r="D40" s="83" t="s">
        <v>961</v>
      </c>
      <c r="E40" s="106">
        <v>1099</v>
      </c>
      <c r="F40" s="14"/>
    </row>
    <row r="41" spans="1:5" ht="12.75" customHeight="1" outlineLevel="1">
      <c r="A41" s="255" t="s">
        <v>1713</v>
      </c>
      <c r="B41" s="256"/>
      <c r="C41" s="256"/>
      <c r="D41" s="257"/>
      <c r="E41" s="105">
        <f>SUM(E42:E53)</f>
        <v>132139.64</v>
      </c>
    </row>
    <row r="42" spans="1:6" ht="15" outlineLevel="2">
      <c r="A42" s="42"/>
      <c r="B42" s="82"/>
      <c r="C42" s="82" t="s">
        <v>1577</v>
      </c>
      <c r="D42" s="82" t="s">
        <v>1496</v>
      </c>
      <c r="E42" s="106">
        <v>11210.47</v>
      </c>
      <c r="F42" s="14"/>
    </row>
    <row r="43" spans="1:6" ht="15" outlineLevel="2">
      <c r="A43" s="42"/>
      <c r="B43" s="83"/>
      <c r="C43" s="83" t="s">
        <v>1578</v>
      </c>
      <c r="D43" s="83" t="s">
        <v>1496</v>
      </c>
      <c r="E43" s="106">
        <v>11210.47</v>
      </c>
      <c r="F43" s="14"/>
    </row>
    <row r="44" spans="1:6" ht="15" outlineLevel="2">
      <c r="A44" s="42"/>
      <c r="B44" s="83"/>
      <c r="C44" s="83" t="s">
        <v>1579</v>
      </c>
      <c r="D44" s="83" t="s">
        <v>1496</v>
      </c>
      <c r="E44" s="106">
        <v>11210.47</v>
      </c>
      <c r="F44" s="14"/>
    </row>
    <row r="45" spans="1:6" ht="15" outlineLevel="2">
      <c r="A45" s="42"/>
      <c r="B45" s="83"/>
      <c r="C45" s="83" t="s">
        <v>1580</v>
      </c>
      <c r="D45" s="83" t="s">
        <v>1496</v>
      </c>
      <c r="E45" s="106">
        <v>11210.47</v>
      </c>
      <c r="F45" s="14"/>
    </row>
    <row r="46" spans="1:6" ht="15" outlineLevel="2">
      <c r="A46" s="42"/>
      <c r="B46" s="83"/>
      <c r="C46" s="83" t="s">
        <v>1581</v>
      </c>
      <c r="D46" s="83" t="s">
        <v>1496</v>
      </c>
      <c r="E46" s="106">
        <v>10733.27</v>
      </c>
      <c r="F46" s="14"/>
    </row>
    <row r="47" spans="1:6" ht="15" outlineLevel="2">
      <c r="A47" s="42"/>
      <c r="B47" s="83"/>
      <c r="C47" s="83" t="s">
        <v>1582</v>
      </c>
      <c r="D47" s="83" t="s">
        <v>1496</v>
      </c>
      <c r="E47" s="106">
        <v>10733.27</v>
      </c>
      <c r="F47" s="14"/>
    </row>
    <row r="48" spans="1:6" ht="15" outlineLevel="2">
      <c r="A48" s="42"/>
      <c r="B48" s="83"/>
      <c r="C48" s="83" t="s">
        <v>1583</v>
      </c>
      <c r="D48" s="83" t="s">
        <v>1496</v>
      </c>
      <c r="E48" s="106">
        <v>10733.27</v>
      </c>
      <c r="F48" s="14"/>
    </row>
    <row r="49" spans="1:6" ht="15" outlineLevel="2">
      <c r="A49" s="42"/>
      <c r="B49" s="83"/>
      <c r="C49" s="83" t="s">
        <v>1584</v>
      </c>
      <c r="D49" s="83" t="s">
        <v>1496</v>
      </c>
      <c r="E49" s="106">
        <v>10733.27</v>
      </c>
      <c r="F49" s="14"/>
    </row>
    <row r="50" spans="1:6" ht="15" outlineLevel="2">
      <c r="A50" s="42"/>
      <c r="B50" s="83"/>
      <c r="C50" s="83" t="s">
        <v>1585</v>
      </c>
      <c r="D50" s="83" t="s">
        <v>1496</v>
      </c>
      <c r="E50" s="106">
        <v>10733.27</v>
      </c>
      <c r="F50" s="14"/>
    </row>
    <row r="51" spans="1:6" ht="15" outlineLevel="2">
      <c r="A51" s="42"/>
      <c r="B51" s="83"/>
      <c r="C51" s="83" t="s">
        <v>1586</v>
      </c>
      <c r="D51" s="83" t="s">
        <v>1496</v>
      </c>
      <c r="E51" s="106">
        <v>11210.47</v>
      </c>
      <c r="F51" s="14"/>
    </row>
    <row r="52" spans="1:6" ht="15" outlineLevel="2">
      <c r="A52" s="42"/>
      <c r="B52" s="83"/>
      <c r="C52" s="83" t="s">
        <v>1587</v>
      </c>
      <c r="D52" s="83" t="s">
        <v>1496</v>
      </c>
      <c r="E52" s="106">
        <v>11210.47</v>
      </c>
      <c r="F52" s="14"/>
    </row>
    <row r="53" spans="1:6" ht="15" outlineLevel="2">
      <c r="A53" s="42"/>
      <c r="B53" s="89"/>
      <c r="C53" s="83" t="s">
        <v>1588</v>
      </c>
      <c r="D53" s="83" t="s">
        <v>1496</v>
      </c>
      <c r="E53" s="106">
        <v>11210.47</v>
      </c>
      <c r="F53" s="14"/>
    </row>
    <row r="54" spans="1:5" ht="13.5" customHeight="1" outlineLevel="1">
      <c r="A54" s="255" t="s">
        <v>1714</v>
      </c>
      <c r="B54" s="256"/>
      <c r="C54" s="256"/>
      <c r="D54" s="257"/>
      <c r="E54" s="105">
        <f>1.46*3166.8*12</f>
        <v>55482.336</v>
      </c>
    </row>
    <row r="55" spans="1:5" ht="14.25" customHeight="1" outlineLevel="1">
      <c r="A55" s="255" t="s">
        <v>1715</v>
      </c>
      <c r="B55" s="256"/>
      <c r="C55" s="256"/>
      <c r="D55" s="257"/>
      <c r="E55" s="105">
        <f>SUM(E56:E64)</f>
        <v>5916.029999999999</v>
      </c>
    </row>
    <row r="56" spans="1:6" ht="15" outlineLevel="2">
      <c r="A56" s="42"/>
      <c r="B56" s="82" t="s">
        <v>66</v>
      </c>
      <c r="C56" s="82" t="s">
        <v>1577</v>
      </c>
      <c r="D56" s="82" t="s">
        <v>2179</v>
      </c>
      <c r="E56" s="106">
        <v>2164</v>
      </c>
      <c r="F56" s="14"/>
    </row>
    <row r="57" spans="1:6" ht="15" outlineLevel="2">
      <c r="A57" s="42"/>
      <c r="B57" s="83" t="s">
        <v>139</v>
      </c>
      <c r="C57" s="83" t="s">
        <v>1580</v>
      </c>
      <c r="D57" s="83" t="s">
        <v>2233</v>
      </c>
      <c r="E57" s="106">
        <v>578.08</v>
      </c>
      <c r="F57" s="14"/>
    </row>
    <row r="58" spans="1:6" ht="15" outlineLevel="2">
      <c r="A58" s="42"/>
      <c r="B58" s="83" t="s">
        <v>222</v>
      </c>
      <c r="C58" s="83" t="s">
        <v>1581</v>
      </c>
      <c r="D58" s="83" t="s">
        <v>223</v>
      </c>
      <c r="E58" s="106">
        <v>603.75</v>
      </c>
      <c r="F58" s="14"/>
    </row>
    <row r="59" spans="1:6" ht="15" outlineLevel="2">
      <c r="A59" s="42"/>
      <c r="B59" s="83" t="s">
        <v>1258</v>
      </c>
      <c r="C59" s="83" t="s">
        <v>1583</v>
      </c>
      <c r="D59" s="83" t="s">
        <v>152</v>
      </c>
      <c r="E59" s="106">
        <v>1008.4</v>
      </c>
      <c r="F59" s="14"/>
    </row>
    <row r="60" spans="1:6" ht="15" outlineLevel="2">
      <c r="A60" s="42"/>
      <c r="B60" s="83" t="s">
        <v>2490</v>
      </c>
      <c r="C60" s="83" t="s">
        <v>1585</v>
      </c>
      <c r="D60" s="83" t="s">
        <v>110</v>
      </c>
      <c r="E60" s="106">
        <v>676.49</v>
      </c>
      <c r="F60" s="14"/>
    </row>
    <row r="61" spans="1:6" ht="15" outlineLevel="2">
      <c r="A61" s="42"/>
      <c r="B61" s="83" t="s">
        <v>542</v>
      </c>
      <c r="C61" s="83" t="s">
        <v>1586</v>
      </c>
      <c r="D61" s="83" t="s">
        <v>1005</v>
      </c>
      <c r="E61" s="106">
        <v>198</v>
      </c>
      <c r="F61" s="14"/>
    </row>
    <row r="62" spans="1:6" ht="15" outlineLevel="2">
      <c r="A62" s="42"/>
      <c r="B62" s="83" t="s">
        <v>1069</v>
      </c>
      <c r="C62" s="83" t="s">
        <v>1588</v>
      </c>
      <c r="D62" s="83" t="s">
        <v>1070</v>
      </c>
      <c r="E62" s="106">
        <v>180</v>
      </c>
      <c r="F62" s="14"/>
    </row>
    <row r="63" spans="1:6" ht="15" outlineLevel="2">
      <c r="A63" s="42"/>
      <c r="B63" s="83" t="s">
        <v>206</v>
      </c>
      <c r="C63" s="83" t="s">
        <v>1587</v>
      </c>
      <c r="D63" s="83" t="s">
        <v>207</v>
      </c>
      <c r="E63" s="106">
        <v>139.2</v>
      </c>
      <c r="F63" s="14"/>
    </row>
    <row r="64" spans="1:6" ht="15" outlineLevel="2">
      <c r="A64" s="42"/>
      <c r="B64" s="83" t="s">
        <v>1958</v>
      </c>
      <c r="C64" s="83" t="s">
        <v>1588</v>
      </c>
      <c r="D64" s="83" t="s">
        <v>1960</v>
      </c>
      <c r="E64" s="106">
        <v>368.11</v>
      </c>
      <c r="F64" s="14"/>
    </row>
    <row r="65" spans="1:5" ht="15" customHeight="1" outlineLevel="1">
      <c r="A65" s="255" t="s">
        <v>1716</v>
      </c>
      <c r="B65" s="256"/>
      <c r="C65" s="256"/>
      <c r="D65" s="257"/>
      <c r="E65" s="105">
        <f>SUM(E66:E66)</f>
        <v>1221.7</v>
      </c>
    </row>
    <row r="66" spans="1:6" ht="15" outlineLevel="2">
      <c r="A66" s="42"/>
      <c r="B66" s="83" t="s">
        <v>55</v>
      </c>
      <c r="C66" s="83" t="s">
        <v>1584</v>
      </c>
      <c r="D66" s="83" t="s">
        <v>933</v>
      </c>
      <c r="E66" s="106">
        <v>1221.7</v>
      </c>
      <c r="F66" s="14"/>
    </row>
    <row r="67" spans="1:5" ht="13.5" customHeight="1" outlineLevel="1">
      <c r="A67" s="255" t="s">
        <v>1595</v>
      </c>
      <c r="B67" s="256"/>
      <c r="C67" s="256"/>
      <c r="D67" s="257"/>
      <c r="E67" s="105">
        <f>SUM(E68:E74)</f>
        <v>7286.65</v>
      </c>
    </row>
    <row r="68" spans="1:6" ht="15" outlineLevel="2">
      <c r="A68" s="42"/>
      <c r="B68" s="83" t="s">
        <v>2236</v>
      </c>
      <c r="C68" s="83" t="s">
        <v>1579</v>
      </c>
      <c r="D68" s="83" t="s">
        <v>463</v>
      </c>
      <c r="E68" s="106">
        <v>260.7</v>
      </c>
      <c r="F68" s="14"/>
    </row>
    <row r="69" spans="1:6" ht="15" outlineLevel="2">
      <c r="A69" s="42"/>
      <c r="B69" s="83" t="s">
        <v>1026</v>
      </c>
      <c r="C69" s="83" t="s">
        <v>1580</v>
      </c>
      <c r="D69" s="83" t="s">
        <v>1030</v>
      </c>
      <c r="E69" s="106">
        <v>539.6</v>
      </c>
      <c r="F69" s="14"/>
    </row>
    <row r="70" spans="1:6" ht="13.5" customHeight="1" outlineLevel="2">
      <c r="A70" s="42"/>
      <c r="B70" s="83" t="s">
        <v>853</v>
      </c>
      <c r="C70" s="83" t="s">
        <v>1586</v>
      </c>
      <c r="D70" s="83" t="s">
        <v>2368</v>
      </c>
      <c r="E70" s="106">
        <v>6.1</v>
      </c>
      <c r="F70" s="14"/>
    </row>
    <row r="71" spans="1:6" ht="13.5" customHeight="1" outlineLevel="2">
      <c r="A71" s="42"/>
      <c r="B71" s="83" t="s">
        <v>778</v>
      </c>
      <c r="C71" s="83" t="s">
        <v>1587</v>
      </c>
      <c r="D71" s="83" t="s">
        <v>779</v>
      </c>
      <c r="E71" s="106">
        <v>221.28</v>
      </c>
      <c r="F71" s="14"/>
    </row>
    <row r="72" spans="1:6" ht="13.5" customHeight="1" outlineLevel="2">
      <c r="A72" s="42"/>
      <c r="B72" s="83" t="s">
        <v>1181</v>
      </c>
      <c r="C72" s="83" t="s">
        <v>1587</v>
      </c>
      <c r="D72" s="83" t="s">
        <v>1182</v>
      </c>
      <c r="E72" s="106">
        <v>287.76</v>
      </c>
      <c r="F72" s="14"/>
    </row>
    <row r="73" spans="1:6" ht="13.5" customHeight="1" outlineLevel="2">
      <c r="A73" s="42"/>
      <c r="B73" s="83" t="s">
        <v>923</v>
      </c>
      <c r="C73" s="83" t="s">
        <v>1588</v>
      </c>
      <c r="D73" s="83" t="s">
        <v>924</v>
      </c>
      <c r="E73" s="106">
        <v>5359.11</v>
      </c>
      <c r="F73" s="14"/>
    </row>
    <row r="74" spans="1:6" ht="13.5" customHeight="1" outlineLevel="2">
      <c r="A74" s="42"/>
      <c r="B74" s="83" t="s">
        <v>5</v>
      </c>
      <c r="C74" s="83" t="s">
        <v>1588</v>
      </c>
      <c r="D74" s="83" t="s">
        <v>725</v>
      </c>
      <c r="E74" s="106">
        <v>612.1</v>
      </c>
      <c r="F74" s="14"/>
    </row>
    <row r="75" spans="1:5" ht="15" customHeight="1" outlineLevel="1">
      <c r="A75" s="255" t="s">
        <v>1718</v>
      </c>
      <c r="B75" s="256"/>
      <c r="C75" s="256"/>
      <c r="D75" s="257"/>
      <c r="E75" s="105">
        <f>SUM(E76:E78)</f>
        <v>2808.91</v>
      </c>
    </row>
    <row r="76" spans="1:6" ht="15" outlineLevel="2">
      <c r="A76" s="42"/>
      <c r="B76" s="83" t="s">
        <v>2</v>
      </c>
      <c r="C76" s="83" t="s">
        <v>57</v>
      </c>
      <c r="D76" s="83" t="s">
        <v>721</v>
      </c>
      <c r="E76" s="106">
        <v>120.73</v>
      </c>
      <c r="F76" s="14"/>
    </row>
    <row r="77" spans="1:6" ht="15" outlineLevel="2">
      <c r="A77" s="42"/>
      <c r="B77" s="83" t="s">
        <v>2</v>
      </c>
      <c r="C77" s="83" t="s">
        <v>1581</v>
      </c>
      <c r="D77" s="83" t="s">
        <v>2390</v>
      </c>
      <c r="E77" s="106">
        <v>1575.01</v>
      </c>
      <c r="F77" s="14"/>
    </row>
    <row r="78" spans="1:6" ht="15" outlineLevel="2">
      <c r="A78" s="42"/>
      <c r="B78" s="84" t="s">
        <v>532</v>
      </c>
      <c r="C78" s="84" t="s">
        <v>1586</v>
      </c>
      <c r="D78" s="84" t="s">
        <v>531</v>
      </c>
      <c r="E78" s="106">
        <v>1113.17</v>
      </c>
      <c r="F78" s="14"/>
    </row>
    <row r="79" spans="1:6" ht="13.5" customHeight="1" outlineLevel="2">
      <c r="A79" s="255" t="s">
        <v>0</v>
      </c>
      <c r="B79" s="256"/>
      <c r="C79" s="256"/>
      <c r="D79" s="257"/>
      <c r="E79" s="105">
        <f>0.1*3166.8*12</f>
        <v>3800.1600000000008</v>
      </c>
      <c r="F79" s="14"/>
    </row>
    <row r="80" spans="1:6" ht="13.5" customHeight="1" outlineLevel="2">
      <c r="A80" s="255" t="s">
        <v>1369</v>
      </c>
      <c r="B80" s="256"/>
      <c r="C80" s="256"/>
      <c r="D80" s="257"/>
      <c r="E80" s="105">
        <v>3166.66</v>
      </c>
      <c r="F80" s="14"/>
    </row>
    <row r="81" spans="1:6" ht="15">
      <c r="A81" s="42"/>
      <c r="B81" s="270" t="s">
        <v>59</v>
      </c>
      <c r="C81" s="270"/>
      <c r="D81" s="270"/>
      <c r="E81" s="43">
        <f>1.57*3166.8*12</f>
        <v>59662.512</v>
      </c>
      <c r="F81" s="14"/>
    </row>
    <row r="82" spans="1:6" ht="15">
      <c r="A82" s="42"/>
      <c r="B82" s="270" t="s">
        <v>256</v>
      </c>
      <c r="C82" s="270"/>
      <c r="D82" s="270"/>
      <c r="E82" s="43">
        <f>10.3*(E84+E85)/100</f>
        <v>79847.70120000001</v>
      </c>
      <c r="F82" s="14"/>
    </row>
    <row r="83" spans="1:5" ht="15">
      <c r="A83" s="42">
        <v>1</v>
      </c>
      <c r="B83" s="272" t="s">
        <v>659</v>
      </c>
      <c r="C83" s="272"/>
      <c r="D83" s="272"/>
      <c r="E83" s="44">
        <f>E82+E81+E9+E3</f>
        <v>438023.5592</v>
      </c>
    </row>
    <row r="84" spans="1:6" ht="15">
      <c r="A84" s="42">
        <v>2</v>
      </c>
      <c r="B84" s="270" t="s">
        <v>258</v>
      </c>
      <c r="C84" s="270"/>
      <c r="D84" s="270"/>
      <c r="E84" s="43">
        <v>676417.8</v>
      </c>
      <c r="F84" s="14"/>
    </row>
    <row r="85" spans="1:5" ht="15">
      <c r="A85" s="42">
        <v>3</v>
      </c>
      <c r="B85" s="270" t="s">
        <v>259</v>
      </c>
      <c r="C85" s="270"/>
      <c r="D85" s="270"/>
      <c r="E85" s="43">
        <v>98802.6</v>
      </c>
    </row>
    <row r="86" spans="1:5" ht="15">
      <c r="A86" s="42">
        <v>4</v>
      </c>
      <c r="B86" s="270" t="s">
        <v>660</v>
      </c>
      <c r="C86" s="270"/>
      <c r="D86" s="270"/>
      <c r="E86" s="43">
        <v>2117730.23</v>
      </c>
    </row>
    <row r="87" spans="1:5" ht="15">
      <c r="A87" s="42">
        <v>5</v>
      </c>
      <c r="B87" s="270" t="s">
        <v>2340</v>
      </c>
      <c r="C87" s="270"/>
      <c r="D87" s="270"/>
      <c r="E87" s="43">
        <v>1654161.56</v>
      </c>
    </row>
    <row r="88" spans="1:5" ht="15">
      <c r="A88" s="42">
        <v>6</v>
      </c>
      <c r="B88" s="272" t="s">
        <v>2341</v>
      </c>
      <c r="C88" s="272"/>
      <c r="D88" s="272"/>
      <c r="E88" s="44">
        <f>'[5]Мира 30'!$E$93+E83</f>
        <v>1547732.8192</v>
      </c>
    </row>
    <row r="89" spans="1:5" ht="15">
      <c r="A89" s="42">
        <v>7</v>
      </c>
      <c r="B89" s="270" t="s">
        <v>732</v>
      </c>
      <c r="C89" s="270"/>
      <c r="D89" s="270"/>
      <c r="E89" s="43">
        <v>309369.7</v>
      </c>
    </row>
    <row r="90" spans="1:5" ht="15">
      <c r="A90" s="42">
        <v>8</v>
      </c>
      <c r="B90" s="270" t="s">
        <v>733</v>
      </c>
      <c r="C90" s="270"/>
      <c r="D90" s="270"/>
      <c r="E90" s="43">
        <v>241647.4</v>
      </c>
    </row>
    <row r="91" spans="1:5" ht="15">
      <c r="A91" s="42">
        <v>9</v>
      </c>
      <c r="B91" s="272" t="s">
        <v>734</v>
      </c>
      <c r="C91" s="272"/>
      <c r="D91" s="272"/>
      <c r="E91" s="44">
        <f>E94+'[5]Мира 30'!$E$96</f>
        <v>0</v>
      </c>
    </row>
    <row r="92" spans="1:5" ht="15">
      <c r="A92" s="42">
        <v>10</v>
      </c>
      <c r="B92" s="270" t="s">
        <v>260</v>
      </c>
      <c r="C92" s="270"/>
      <c r="D92" s="270"/>
      <c r="E92" s="43">
        <v>587982.61</v>
      </c>
    </row>
    <row r="93" spans="1:5" ht="15">
      <c r="A93" s="42">
        <v>11</v>
      </c>
      <c r="B93" s="270" t="s">
        <v>735</v>
      </c>
      <c r="C93" s="270"/>
      <c r="D93" s="270"/>
      <c r="E93" s="43">
        <v>85885.1</v>
      </c>
    </row>
    <row r="94" spans="1:5" ht="15">
      <c r="A94" s="42">
        <v>12</v>
      </c>
      <c r="B94" s="272" t="s">
        <v>736</v>
      </c>
      <c r="C94" s="272"/>
      <c r="D94" s="272"/>
      <c r="E94" s="44">
        <v>0</v>
      </c>
    </row>
    <row r="95" spans="1:5" ht="26.25" customHeight="1">
      <c r="A95" s="42">
        <v>13</v>
      </c>
      <c r="B95" s="271" t="s">
        <v>737</v>
      </c>
      <c r="C95" s="271"/>
      <c r="D95" s="271"/>
      <c r="E95" s="45">
        <f>E86-E88</f>
        <v>569997.4108</v>
      </c>
    </row>
    <row r="96" spans="1:5" ht="26.25" customHeight="1">
      <c r="A96" s="42">
        <v>14</v>
      </c>
      <c r="B96" s="271" t="s">
        <v>738</v>
      </c>
      <c r="C96" s="271"/>
      <c r="D96" s="271"/>
      <c r="E96" s="45">
        <f>E89-E91</f>
        <v>309369.7</v>
      </c>
    </row>
    <row r="97" spans="1:5" ht="29.25" customHeight="1">
      <c r="A97" s="42">
        <v>15</v>
      </c>
      <c r="B97" s="271" t="s">
        <v>739</v>
      </c>
      <c r="C97" s="271"/>
      <c r="D97" s="271"/>
      <c r="E97" s="45">
        <f>E87-E88</f>
        <v>106428.74080000003</v>
      </c>
    </row>
    <row r="98" ht="12.75">
      <c r="E98" s="39"/>
    </row>
    <row r="99" spans="1:5" ht="12.75" customHeight="1">
      <c r="A99" s="12" t="s">
        <v>492</v>
      </c>
      <c r="E99" s="39"/>
    </row>
    <row r="100" spans="1:5" ht="12.75" customHeight="1">
      <c r="A100" s="12" t="s">
        <v>493</v>
      </c>
      <c r="E100" s="39"/>
    </row>
    <row r="101" spans="1:5" ht="12.75" customHeight="1">
      <c r="A101" s="12" t="s">
        <v>494</v>
      </c>
      <c r="E101" s="39"/>
    </row>
    <row r="102" spans="1:5" ht="12.75" customHeight="1">
      <c r="A102" s="12" t="s">
        <v>495</v>
      </c>
      <c r="E102" s="39"/>
    </row>
  </sheetData>
  <sheetProtection/>
  <mergeCells count="36">
    <mergeCell ref="B3:C3"/>
    <mergeCell ref="B83:D83"/>
    <mergeCell ref="A1:E1"/>
    <mergeCell ref="A4:D4"/>
    <mergeCell ref="A7:D7"/>
    <mergeCell ref="A67:D67"/>
    <mergeCell ref="A33:D33"/>
    <mergeCell ref="A35:D35"/>
    <mergeCell ref="A41:D41"/>
    <mergeCell ref="A55:D55"/>
    <mergeCell ref="A65:D65"/>
    <mergeCell ref="B88:D88"/>
    <mergeCell ref="B85:D85"/>
    <mergeCell ref="B86:D86"/>
    <mergeCell ref="B84:D84"/>
    <mergeCell ref="B87:D87"/>
    <mergeCell ref="B82:D82"/>
    <mergeCell ref="B9:C9"/>
    <mergeCell ref="B81:D81"/>
    <mergeCell ref="A10:D10"/>
    <mergeCell ref="A16:D16"/>
    <mergeCell ref="A19:D19"/>
    <mergeCell ref="A27:D27"/>
    <mergeCell ref="A75:D75"/>
    <mergeCell ref="A79:D79"/>
    <mergeCell ref="A80:D80"/>
    <mergeCell ref="A54:D54"/>
    <mergeCell ref="B97:D97"/>
    <mergeCell ref="B89:D89"/>
    <mergeCell ref="B90:D90"/>
    <mergeCell ref="B91:D91"/>
    <mergeCell ref="B92:D92"/>
    <mergeCell ref="B95:D95"/>
    <mergeCell ref="B96:D96"/>
    <mergeCell ref="B93:D93"/>
    <mergeCell ref="B94:D94"/>
  </mergeCells>
  <printOptions/>
  <pageMargins left="0.4724409448818898" right="0.1968503937007874" top="0.2755905511811024" bottom="0.15748031496062992" header="0.15748031496062992" footer="0.15748031496062992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61"/>
  <sheetViews>
    <sheetView zoomScalePageLayoutView="0" workbookViewId="0" topLeftCell="A143">
      <selection activeCell="D166" sqref="D166"/>
    </sheetView>
  </sheetViews>
  <sheetFormatPr defaultColWidth="13.421875" defaultRowHeight="12.75" outlineLevelRow="2"/>
  <cols>
    <col min="1" max="1" width="1.1484375" style="1" customWidth="1"/>
    <col min="2" max="2" width="15.57421875" style="1" customWidth="1"/>
    <col min="3" max="3" width="14.7109375" style="1" customWidth="1"/>
    <col min="4" max="4" width="75.281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4.25">
      <c r="A1" s="258" t="s">
        <v>2245</v>
      </c>
      <c r="B1" s="315"/>
      <c r="C1" s="315"/>
      <c r="D1" s="315"/>
      <c r="E1" s="316"/>
    </row>
    <row r="2" spans="1:6" ht="15">
      <c r="A2" s="42"/>
      <c r="B2" s="133" t="s">
        <v>1570</v>
      </c>
      <c r="C2" s="134" t="s">
        <v>1571</v>
      </c>
      <c r="D2" s="113" t="s">
        <v>1572</v>
      </c>
      <c r="E2" s="135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E4+E6+E9+E11+E13</f>
        <v>136922.69</v>
      </c>
    </row>
    <row r="4" spans="1:5" ht="15" customHeight="1" outlineLevel="1">
      <c r="A4" s="255" t="s">
        <v>1589</v>
      </c>
      <c r="B4" s="256"/>
      <c r="C4" s="256"/>
      <c r="D4" s="257"/>
      <c r="E4" s="105">
        <f>SUM(E5:E5)</f>
        <v>31524</v>
      </c>
    </row>
    <row r="5" spans="1:6" ht="15" outlineLevel="2">
      <c r="A5" s="81"/>
      <c r="B5" s="83" t="s">
        <v>2037</v>
      </c>
      <c r="C5" s="83" t="s">
        <v>1585</v>
      </c>
      <c r="D5" s="83" t="s">
        <v>2045</v>
      </c>
      <c r="E5" s="106">
        <v>31524</v>
      </c>
      <c r="F5" s="14"/>
    </row>
    <row r="6" spans="1:5" ht="14.25" customHeight="1" outlineLevel="1">
      <c r="A6" s="255" t="s">
        <v>1590</v>
      </c>
      <c r="B6" s="256"/>
      <c r="C6" s="256"/>
      <c r="D6" s="257"/>
      <c r="E6" s="105">
        <f>SUM(E7:E8)</f>
        <v>55162.14</v>
      </c>
    </row>
    <row r="7" spans="1:6" ht="15" outlineLevel="2">
      <c r="A7" s="81"/>
      <c r="B7" s="83" t="s">
        <v>1015</v>
      </c>
      <c r="C7" s="83" t="s">
        <v>1580</v>
      </c>
      <c r="D7" s="83" t="s">
        <v>1016</v>
      </c>
      <c r="E7" s="106">
        <v>50366.14</v>
      </c>
      <c r="F7" s="14"/>
    </row>
    <row r="8" spans="1:6" ht="15" outlineLevel="2">
      <c r="A8" s="81"/>
      <c r="B8" s="84" t="s">
        <v>1111</v>
      </c>
      <c r="C8" s="84" t="s">
        <v>1582</v>
      </c>
      <c r="D8" s="84" t="s">
        <v>1112</v>
      </c>
      <c r="E8" s="106">
        <v>4796</v>
      </c>
      <c r="F8" s="14"/>
    </row>
    <row r="9" spans="1:5" ht="13.5" customHeight="1" outlineLevel="1">
      <c r="A9" s="255" t="s">
        <v>1594</v>
      </c>
      <c r="B9" s="256"/>
      <c r="C9" s="256"/>
      <c r="D9" s="257"/>
      <c r="E9" s="105">
        <f>SUM(E10:E10)</f>
        <v>16399.11</v>
      </c>
    </row>
    <row r="10" spans="1:6" ht="15" outlineLevel="2">
      <c r="A10" s="81"/>
      <c r="B10" s="84" t="s">
        <v>1461</v>
      </c>
      <c r="C10" s="84" t="s">
        <v>1578</v>
      </c>
      <c r="D10" s="84" t="s">
        <v>1462</v>
      </c>
      <c r="E10" s="106">
        <v>16399.11</v>
      </c>
      <c r="F10" s="14"/>
    </row>
    <row r="11" spans="1:5" ht="15" customHeight="1" outlineLevel="1">
      <c r="A11" s="255" t="s">
        <v>1598</v>
      </c>
      <c r="B11" s="256"/>
      <c r="C11" s="256"/>
      <c r="D11" s="257"/>
      <c r="E11" s="105">
        <f>SUM(E12:E12)</f>
        <v>2210.18</v>
      </c>
    </row>
    <row r="12" spans="1:6" ht="12.75" customHeight="1" outlineLevel="2">
      <c r="A12" s="81"/>
      <c r="B12" s="84" t="s">
        <v>242</v>
      </c>
      <c r="C12" s="84" t="s">
        <v>1579</v>
      </c>
      <c r="D12" s="84" t="s">
        <v>245</v>
      </c>
      <c r="E12" s="106">
        <v>2210.18</v>
      </c>
      <c r="F12" s="14"/>
    </row>
    <row r="13" spans="1:5" ht="14.25" customHeight="1" outlineLevel="1">
      <c r="A13" s="255" t="s">
        <v>1599</v>
      </c>
      <c r="B13" s="256"/>
      <c r="C13" s="256"/>
      <c r="D13" s="257"/>
      <c r="E13" s="105">
        <f>SUM(E14:E14)</f>
        <v>31627.26</v>
      </c>
    </row>
    <row r="14" spans="1:6" ht="15" outlineLevel="2">
      <c r="A14" s="42"/>
      <c r="B14" s="84" t="s">
        <v>1469</v>
      </c>
      <c r="C14" s="84" t="s">
        <v>1578</v>
      </c>
      <c r="D14" s="84" t="s">
        <v>1</v>
      </c>
      <c r="E14" s="106">
        <v>31627.26</v>
      </c>
      <c r="F14" s="14"/>
    </row>
    <row r="15" spans="1:5" ht="13.5" customHeight="1">
      <c r="A15" s="91"/>
      <c r="B15" s="308"/>
      <c r="C15" s="308"/>
      <c r="D15" s="155" t="s">
        <v>1600</v>
      </c>
      <c r="E15" s="130">
        <f>E16+E22+E30+E50+E66+E71+E74+E87+E88+E110+E113+E116+E129+E136+E137</f>
        <v>499469.329</v>
      </c>
    </row>
    <row r="16" spans="1:5" ht="13.5" customHeight="1" outlineLevel="1">
      <c r="A16" s="255" t="s">
        <v>1576</v>
      </c>
      <c r="B16" s="256"/>
      <c r="C16" s="256"/>
      <c r="D16" s="257"/>
      <c r="E16" s="105">
        <f>SUM(E17:E21)</f>
        <v>8381.42</v>
      </c>
    </row>
    <row r="17" spans="1:6" ht="17.25" customHeight="1" outlineLevel="2">
      <c r="A17" s="42"/>
      <c r="B17" s="83" t="s">
        <v>885</v>
      </c>
      <c r="C17" s="83" t="s">
        <v>1578</v>
      </c>
      <c r="D17" s="83" t="s">
        <v>652</v>
      </c>
      <c r="E17" s="106">
        <v>1651.29</v>
      </c>
      <c r="F17" s="14"/>
    </row>
    <row r="18" spans="1:6" ht="15" outlineLevel="2">
      <c r="A18" s="42"/>
      <c r="B18" s="83" t="s">
        <v>2</v>
      </c>
      <c r="C18" s="83" t="s">
        <v>1580</v>
      </c>
      <c r="D18" s="83" t="s">
        <v>2277</v>
      </c>
      <c r="E18" s="106">
        <v>119.9</v>
      </c>
      <c r="F18" s="14"/>
    </row>
    <row r="19" spans="1:6" ht="27.75" customHeight="1" outlineLevel="2">
      <c r="A19" s="42"/>
      <c r="B19" s="83" t="s">
        <v>508</v>
      </c>
      <c r="C19" s="83" t="s">
        <v>1582</v>
      </c>
      <c r="D19" s="83" t="s">
        <v>509</v>
      </c>
      <c r="E19" s="106">
        <v>602.47</v>
      </c>
      <c r="F19" s="14"/>
    </row>
    <row r="20" spans="1:6" ht="15" outlineLevel="2">
      <c r="A20" s="42"/>
      <c r="B20" s="83" t="s">
        <v>1033</v>
      </c>
      <c r="C20" s="83" t="s">
        <v>1583</v>
      </c>
      <c r="D20" s="83" t="s">
        <v>509</v>
      </c>
      <c r="E20" s="106">
        <v>3230.76</v>
      </c>
      <c r="F20" s="14"/>
    </row>
    <row r="21" spans="1:6" ht="15" outlineLevel="2">
      <c r="A21" s="42"/>
      <c r="B21" s="83" t="s">
        <v>2041</v>
      </c>
      <c r="C21" s="83" t="s">
        <v>1585</v>
      </c>
      <c r="D21" s="83" t="s">
        <v>2042</v>
      </c>
      <c r="E21" s="106">
        <v>2777</v>
      </c>
      <c r="F21" s="14"/>
    </row>
    <row r="22" spans="1:5" ht="13.5" customHeight="1" outlineLevel="1">
      <c r="A22" s="255" t="s">
        <v>1589</v>
      </c>
      <c r="B22" s="256"/>
      <c r="C22" s="256"/>
      <c r="D22" s="257"/>
      <c r="E22" s="105">
        <f>SUM(E23:E29)</f>
        <v>38421.96</v>
      </c>
    </row>
    <row r="23" spans="1:6" ht="15" outlineLevel="2">
      <c r="A23" s="42"/>
      <c r="B23" s="83" t="s">
        <v>876</v>
      </c>
      <c r="C23" s="83" t="s">
        <v>1578</v>
      </c>
      <c r="D23" s="83" t="s">
        <v>385</v>
      </c>
      <c r="E23" s="106">
        <v>255.36</v>
      </c>
      <c r="F23" s="14"/>
    </row>
    <row r="24" spans="1:6" ht="30" outlineLevel="2">
      <c r="A24" s="42"/>
      <c r="B24" s="83" t="s">
        <v>2429</v>
      </c>
      <c r="C24" s="83" t="s">
        <v>1578</v>
      </c>
      <c r="D24" s="83" t="s">
        <v>591</v>
      </c>
      <c r="E24" s="106">
        <v>1214.54</v>
      </c>
      <c r="F24" s="14"/>
    </row>
    <row r="25" spans="1:6" ht="15" outlineLevel="2">
      <c r="A25" s="42"/>
      <c r="B25" s="83" t="s">
        <v>1202</v>
      </c>
      <c r="C25" s="83" t="s">
        <v>1582</v>
      </c>
      <c r="D25" s="83" t="s">
        <v>1207</v>
      </c>
      <c r="E25" s="106">
        <v>80.06</v>
      </c>
      <c r="F25" s="14"/>
    </row>
    <row r="26" spans="1:6" ht="15" outlineLevel="2">
      <c r="A26" s="42"/>
      <c r="B26" s="83" t="s">
        <v>2034</v>
      </c>
      <c r="C26" s="83" t="s">
        <v>1585</v>
      </c>
      <c r="D26" s="83" t="s">
        <v>2035</v>
      </c>
      <c r="E26" s="106">
        <v>2729</v>
      </c>
      <c r="F26" s="14"/>
    </row>
    <row r="27" spans="1:6" ht="15" outlineLevel="2">
      <c r="A27" s="42"/>
      <c r="B27" s="83" t="s">
        <v>2037</v>
      </c>
      <c r="C27" s="83" t="s">
        <v>1585</v>
      </c>
      <c r="D27" s="83" t="s">
        <v>2038</v>
      </c>
      <c r="E27" s="106">
        <v>31524</v>
      </c>
      <c r="F27" s="14"/>
    </row>
    <row r="28" spans="1:6" ht="15" outlineLevel="2">
      <c r="A28" s="42"/>
      <c r="B28" s="83" t="s">
        <v>1357</v>
      </c>
      <c r="C28" s="83" t="s">
        <v>1587</v>
      </c>
      <c r="D28" s="83" t="s">
        <v>1358</v>
      </c>
      <c r="E28" s="106">
        <v>2338</v>
      </c>
      <c r="F28" s="14"/>
    </row>
    <row r="29" spans="1:6" ht="15" outlineLevel="2">
      <c r="A29" s="42"/>
      <c r="B29" s="83" t="s">
        <v>1485</v>
      </c>
      <c r="C29" s="83" t="s">
        <v>1588</v>
      </c>
      <c r="D29" s="83" t="s">
        <v>1486</v>
      </c>
      <c r="E29" s="106">
        <v>281</v>
      </c>
      <c r="F29" s="14"/>
    </row>
    <row r="30" spans="1:5" ht="15" customHeight="1" outlineLevel="1">
      <c r="A30" s="255" t="s">
        <v>1590</v>
      </c>
      <c r="B30" s="256"/>
      <c r="C30" s="256"/>
      <c r="D30" s="257"/>
      <c r="E30" s="105">
        <f>SUM(E31:E49)</f>
        <v>88869.65</v>
      </c>
    </row>
    <row r="31" spans="1:6" ht="15" outlineLevel="2">
      <c r="A31" s="42"/>
      <c r="B31" s="88" t="s">
        <v>2</v>
      </c>
      <c r="C31" s="82" t="s">
        <v>1577</v>
      </c>
      <c r="D31" s="82" t="s">
        <v>1507</v>
      </c>
      <c r="E31" s="106">
        <v>170.1</v>
      </c>
      <c r="F31" s="14"/>
    </row>
    <row r="32" spans="1:6" ht="15.75" customHeight="1" outlineLevel="2">
      <c r="A32" s="42"/>
      <c r="B32" s="87" t="s">
        <v>1465</v>
      </c>
      <c r="C32" s="83" t="s">
        <v>1578</v>
      </c>
      <c r="D32" s="83" t="s">
        <v>237</v>
      </c>
      <c r="E32" s="106">
        <v>959.89</v>
      </c>
      <c r="F32" s="14"/>
    </row>
    <row r="33" spans="1:6" ht="15" outlineLevel="2">
      <c r="A33" s="42"/>
      <c r="B33" s="87" t="s">
        <v>137</v>
      </c>
      <c r="C33" s="83" t="s">
        <v>1580</v>
      </c>
      <c r="D33" s="83" t="s">
        <v>1122</v>
      </c>
      <c r="E33" s="106">
        <v>4445.64</v>
      </c>
      <c r="F33" s="14"/>
    </row>
    <row r="34" spans="1:6" ht="15" outlineLevel="2">
      <c r="A34" s="42"/>
      <c r="B34" s="87" t="s">
        <v>219</v>
      </c>
      <c r="C34" s="83" t="s">
        <v>1581</v>
      </c>
      <c r="D34" s="83" t="s">
        <v>220</v>
      </c>
      <c r="E34" s="106">
        <v>43672.79</v>
      </c>
      <c r="F34" s="14"/>
    </row>
    <row r="35" spans="1:6" ht="15" outlineLevel="2">
      <c r="A35" s="42"/>
      <c r="B35" s="87" t="s">
        <v>2</v>
      </c>
      <c r="C35" s="83" t="s">
        <v>57</v>
      </c>
      <c r="D35" s="83" t="s">
        <v>939</v>
      </c>
      <c r="E35" s="106">
        <v>165.51</v>
      </c>
      <c r="F35" s="14"/>
    </row>
    <row r="36" spans="1:6" ht="14.25" customHeight="1" outlineLevel="2">
      <c r="A36" s="42"/>
      <c r="B36" s="87" t="s">
        <v>1218</v>
      </c>
      <c r="C36" s="83" t="s">
        <v>1583</v>
      </c>
      <c r="D36" s="83" t="s">
        <v>1219</v>
      </c>
      <c r="E36" s="106">
        <v>15876</v>
      </c>
      <c r="F36" s="14"/>
    </row>
    <row r="37" spans="1:6" ht="15" outlineLevel="2">
      <c r="A37" s="42"/>
      <c r="B37" s="87" t="s">
        <v>1503</v>
      </c>
      <c r="C37" s="83" t="s">
        <v>1583</v>
      </c>
      <c r="D37" s="83" t="s">
        <v>1217</v>
      </c>
      <c r="E37" s="106">
        <v>270</v>
      </c>
      <c r="F37" s="14"/>
    </row>
    <row r="38" spans="1:6" ht="15" outlineLevel="2">
      <c r="A38" s="42"/>
      <c r="B38" s="87" t="s">
        <v>1662</v>
      </c>
      <c r="C38" s="83" t="s">
        <v>1584</v>
      </c>
      <c r="D38" s="83" t="s">
        <v>1663</v>
      </c>
      <c r="E38" s="106">
        <v>1220</v>
      </c>
      <c r="F38" s="14"/>
    </row>
    <row r="39" spans="1:6" ht="15" outlineLevel="2">
      <c r="A39" s="42"/>
      <c r="B39" s="87" t="s">
        <v>1664</v>
      </c>
      <c r="C39" s="83" t="s">
        <v>1584</v>
      </c>
      <c r="D39" s="83" t="s">
        <v>1665</v>
      </c>
      <c r="E39" s="106">
        <v>5797</v>
      </c>
      <c r="F39" s="14"/>
    </row>
    <row r="40" spans="1:6" ht="15" outlineLevel="2">
      <c r="A40" s="42"/>
      <c r="B40" s="87" t="s">
        <v>1668</v>
      </c>
      <c r="C40" s="83" t="s">
        <v>1584</v>
      </c>
      <c r="D40" s="83" t="s">
        <v>1669</v>
      </c>
      <c r="E40" s="106">
        <v>261.48</v>
      </c>
      <c r="F40" s="14"/>
    </row>
    <row r="41" spans="1:6" ht="15" outlineLevel="2">
      <c r="A41" s="42"/>
      <c r="B41" s="87" t="s">
        <v>1386</v>
      </c>
      <c r="C41" s="83" t="s">
        <v>1585</v>
      </c>
      <c r="D41" s="83" t="s">
        <v>867</v>
      </c>
      <c r="E41" s="106">
        <v>408</v>
      </c>
      <c r="F41" s="14"/>
    </row>
    <row r="42" spans="1:6" ht="15" outlineLevel="2">
      <c r="A42" s="42"/>
      <c r="B42" s="87" t="s">
        <v>2039</v>
      </c>
      <c r="C42" s="83" t="s">
        <v>1585</v>
      </c>
      <c r="D42" s="83" t="s">
        <v>2040</v>
      </c>
      <c r="E42" s="106">
        <v>2879</v>
      </c>
      <c r="F42" s="14"/>
    </row>
    <row r="43" spans="1:6" ht="12.75" customHeight="1" outlineLevel="2">
      <c r="A43" s="42"/>
      <c r="B43" s="87" t="s">
        <v>2043</v>
      </c>
      <c r="C43" s="83" t="s">
        <v>1585</v>
      </c>
      <c r="D43" s="83" t="s">
        <v>2044</v>
      </c>
      <c r="E43" s="106">
        <f>1258*3</f>
        <v>3774</v>
      </c>
      <c r="F43" s="14"/>
    </row>
    <row r="44" spans="1:6" ht="15" outlineLevel="2">
      <c r="A44" s="42"/>
      <c r="B44" s="87" t="s">
        <v>2086</v>
      </c>
      <c r="C44" s="83" t="s">
        <v>1586</v>
      </c>
      <c r="D44" s="83" t="s">
        <v>2087</v>
      </c>
      <c r="E44" s="106">
        <v>2214</v>
      </c>
      <c r="F44" s="14"/>
    </row>
    <row r="45" spans="1:6" ht="15" outlineLevel="2">
      <c r="A45" s="42"/>
      <c r="B45" s="87" t="s">
        <v>2088</v>
      </c>
      <c r="C45" s="83" t="s">
        <v>1586</v>
      </c>
      <c r="D45" s="83" t="s">
        <v>2089</v>
      </c>
      <c r="E45" s="106">
        <v>1532</v>
      </c>
      <c r="F45" s="14"/>
    </row>
    <row r="46" spans="1:6" ht="15" outlineLevel="2">
      <c r="A46" s="42"/>
      <c r="B46" s="87" t="s">
        <v>2005</v>
      </c>
      <c r="C46" s="83" t="s">
        <v>1586</v>
      </c>
      <c r="D46" s="83" t="s">
        <v>2006</v>
      </c>
      <c r="E46" s="106">
        <v>400.49</v>
      </c>
      <c r="F46" s="14"/>
    </row>
    <row r="47" spans="1:6" ht="15.75" customHeight="1" outlineLevel="2">
      <c r="A47" s="42"/>
      <c r="B47" s="87" t="s">
        <v>192</v>
      </c>
      <c r="C47" s="83" t="s">
        <v>1586</v>
      </c>
      <c r="D47" s="83" t="s">
        <v>783</v>
      </c>
      <c r="E47" s="106">
        <v>4411.95</v>
      </c>
      <c r="F47" s="14"/>
    </row>
    <row r="48" spans="1:6" ht="15" outlineLevel="2">
      <c r="A48" s="42"/>
      <c r="B48" s="87" t="s">
        <v>1221</v>
      </c>
      <c r="C48" s="83" t="s">
        <v>1587</v>
      </c>
      <c r="D48" s="83" t="s">
        <v>1356</v>
      </c>
      <c r="E48" s="106">
        <v>11.8</v>
      </c>
      <c r="F48" s="14"/>
    </row>
    <row r="49" spans="1:6" ht="15" outlineLevel="2">
      <c r="A49" s="42"/>
      <c r="B49" s="87" t="s">
        <v>1484</v>
      </c>
      <c r="C49" s="83" t="s">
        <v>1587</v>
      </c>
      <c r="D49" s="83" t="s">
        <v>2006</v>
      </c>
      <c r="E49" s="106">
        <v>400</v>
      </c>
      <c r="F49" s="14"/>
    </row>
    <row r="50" spans="1:5" ht="13.5" customHeight="1" outlineLevel="1">
      <c r="A50" s="255" t="s">
        <v>1591</v>
      </c>
      <c r="B50" s="256"/>
      <c r="C50" s="256"/>
      <c r="D50" s="257"/>
      <c r="E50" s="105">
        <f>SUM(E51:E65)</f>
        <v>15443.57</v>
      </c>
    </row>
    <row r="51" spans="1:6" ht="15" outlineLevel="2">
      <c r="A51" s="42"/>
      <c r="B51" s="87" t="s">
        <v>2329</v>
      </c>
      <c r="C51" s="83" t="s">
        <v>1578</v>
      </c>
      <c r="D51" s="83" t="s">
        <v>475</v>
      </c>
      <c r="E51" s="106">
        <v>363.59</v>
      </c>
      <c r="F51" s="14"/>
    </row>
    <row r="52" spans="1:6" ht="15" outlineLevel="2">
      <c r="A52" s="42"/>
      <c r="B52" s="87" t="s">
        <v>7</v>
      </c>
      <c r="C52" s="83" t="s">
        <v>1578</v>
      </c>
      <c r="D52" s="83" t="s">
        <v>766</v>
      </c>
      <c r="E52" s="106">
        <v>536.63</v>
      </c>
      <c r="F52" s="14"/>
    </row>
    <row r="53" spans="1:6" ht="15" outlineLevel="2">
      <c r="A53" s="42"/>
      <c r="B53" s="87" t="s">
        <v>768</v>
      </c>
      <c r="C53" s="83" t="s">
        <v>1578</v>
      </c>
      <c r="D53" s="83" t="s">
        <v>925</v>
      </c>
      <c r="E53" s="106">
        <v>430.89</v>
      </c>
      <c r="F53" s="14"/>
    </row>
    <row r="54" spans="1:6" ht="15" outlineLevel="2">
      <c r="A54" s="42"/>
      <c r="B54" s="87" t="s">
        <v>130</v>
      </c>
      <c r="C54" s="83" t="s">
        <v>1578</v>
      </c>
      <c r="D54" s="83" t="s">
        <v>410</v>
      </c>
      <c r="E54" s="106">
        <v>264.9</v>
      </c>
      <c r="F54" s="14"/>
    </row>
    <row r="55" spans="1:6" ht="17.25" customHeight="1" outlineLevel="2">
      <c r="A55" s="42"/>
      <c r="B55" s="87" t="s">
        <v>1064</v>
      </c>
      <c r="C55" s="83" t="s">
        <v>1579</v>
      </c>
      <c r="D55" s="83" t="s">
        <v>603</v>
      </c>
      <c r="E55" s="106">
        <v>1079.9</v>
      </c>
      <c r="F55" s="14"/>
    </row>
    <row r="56" spans="1:6" ht="15" outlineLevel="2">
      <c r="A56" s="42"/>
      <c r="B56" s="87" t="s">
        <v>1238</v>
      </c>
      <c r="C56" s="83" t="s">
        <v>1579</v>
      </c>
      <c r="D56" s="83" t="s">
        <v>503</v>
      </c>
      <c r="E56" s="106">
        <v>222.97</v>
      </c>
      <c r="F56" s="14"/>
    </row>
    <row r="57" spans="1:6" ht="15" outlineLevel="2">
      <c r="A57" s="42"/>
      <c r="B57" s="87" t="s">
        <v>484</v>
      </c>
      <c r="C57" s="83" t="s">
        <v>1580</v>
      </c>
      <c r="D57" s="83" t="s">
        <v>829</v>
      </c>
      <c r="E57" s="106">
        <v>415.06</v>
      </c>
      <c r="F57" s="14"/>
    </row>
    <row r="58" spans="1:6" ht="15" outlineLevel="2">
      <c r="A58" s="42"/>
      <c r="B58" s="87" t="s">
        <v>184</v>
      </c>
      <c r="C58" s="83" t="s">
        <v>1580</v>
      </c>
      <c r="D58" s="83" t="s">
        <v>316</v>
      </c>
      <c r="E58" s="106">
        <v>718.31</v>
      </c>
      <c r="F58" s="14"/>
    </row>
    <row r="59" spans="1:6" ht="15" outlineLevel="2">
      <c r="A59" s="42"/>
      <c r="B59" s="87" t="s">
        <v>100</v>
      </c>
      <c r="C59" s="83" t="s">
        <v>1581</v>
      </c>
      <c r="D59" s="83" t="s">
        <v>613</v>
      </c>
      <c r="E59" s="106">
        <v>1079.63</v>
      </c>
      <c r="F59" s="14"/>
    </row>
    <row r="60" spans="1:6" ht="15" outlineLevel="2">
      <c r="A60" s="42"/>
      <c r="B60" s="87" t="s">
        <v>1683</v>
      </c>
      <c r="C60" s="83" t="s">
        <v>1582</v>
      </c>
      <c r="D60" s="83" t="s">
        <v>925</v>
      </c>
      <c r="E60" s="106">
        <v>546.39</v>
      </c>
      <c r="F60" s="14"/>
    </row>
    <row r="61" spans="1:6" ht="15" outlineLevel="2">
      <c r="A61" s="42"/>
      <c r="B61" s="87" t="s">
        <v>1515</v>
      </c>
      <c r="C61" s="83" t="s">
        <v>1582</v>
      </c>
      <c r="D61" s="83" t="s">
        <v>899</v>
      </c>
      <c r="E61" s="106">
        <v>272.3</v>
      </c>
      <c r="F61" s="14"/>
    </row>
    <row r="62" spans="1:6" ht="15" outlineLevel="2">
      <c r="A62" s="42"/>
      <c r="B62" s="87" t="s">
        <v>1456</v>
      </c>
      <c r="C62" s="83" t="s">
        <v>1585</v>
      </c>
      <c r="D62" s="83" t="s">
        <v>1457</v>
      </c>
      <c r="E62" s="106">
        <v>6890</v>
      </c>
      <c r="F62" s="14"/>
    </row>
    <row r="63" spans="1:6" ht="15" outlineLevel="2">
      <c r="A63" s="42"/>
      <c r="B63" s="87" t="s">
        <v>1454</v>
      </c>
      <c r="C63" s="83" t="s">
        <v>1585</v>
      </c>
      <c r="D63" s="83" t="s">
        <v>1455</v>
      </c>
      <c r="E63" s="106">
        <v>1339</v>
      </c>
      <c r="F63" s="14"/>
    </row>
    <row r="64" spans="1:6" ht="15" outlineLevel="2">
      <c r="A64" s="42"/>
      <c r="B64" s="87" t="s">
        <v>1360</v>
      </c>
      <c r="C64" s="83" t="s">
        <v>1587</v>
      </c>
      <c r="D64" s="83" t="s">
        <v>1455</v>
      </c>
      <c r="E64" s="106">
        <v>600</v>
      </c>
      <c r="F64" s="14"/>
    </row>
    <row r="65" spans="1:6" ht="15" outlineLevel="2">
      <c r="A65" s="42"/>
      <c r="B65" s="87" t="s">
        <v>1361</v>
      </c>
      <c r="C65" s="83" t="s">
        <v>1587</v>
      </c>
      <c r="D65" s="83" t="s">
        <v>1362</v>
      </c>
      <c r="E65" s="106">
        <v>684</v>
      </c>
      <c r="F65" s="14"/>
    </row>
    <row r="66" spans="1:5" ht="15" customHeight="1" outlineLevel="1">
      <c r="A66" s="255" t="s">
        <v>1594</v>
      </c>
      <c r="B66" s="256"/>
      <c r="C66" s="256"/>
      <c r="D66" s="257"/>
      <c r="E66" s="105">
        <f>SUM(E67:E70)</f>
        <v>2986.84</v>
      </c>
    </row>
    <row r="67" spans="1:6" ht="15" outlineLevel="2">
      <c r="A67" s="141"/>
      <c r="B67" s="88" t="s">
        <v>278</v>
      </c>
      <c r="C67" s="82" t="s">
        <v>1577</v>
      </c>
      <c r="D67" s="82" t="s">
        <v>279</v>
      </c>
      <c r="E67" s="106">
        <v>988.84</v>
      </c>
      <c r="F67" s="14"/>
    </row>
    <row r="68" spans="1:6" ht="15" outlineLevel="2">
      <c r="A68" s="42"/>
      <c r="B68" s="87" t="s">
        <v>1703</v>
      </c>
      <c r="C68" s="83" t="s">
        <v>1581</v>
      </c>
      <c r="D68" s="83" t="s">
        <v>46</v>
      </c>
      <c r="E68" s="106">
        <v>601</v>
      </c>
      <c r="F68" s="14"/>
    </row>
    <row r="69" spans="1:6" ht="15" outlineLevel="2">
      <c r="A69" s="42"/>
      <c r="B69" s="87" t="s">
        <v>1456</v>
      </c>
      <c r="C69" s="83" t="s">
        <v>1585</v>
      </c>
      <c r="D69" s="83" t="s">
        <v>2048</v>
      </c>
      <c r="E69" s="106">
        <v>321</v>
      </c>
      <c r="F69" s="14"/>
    </row>
    <row r="70" spans="1:6" ht="15" outlineLevel="2">
      <c r="A70" s="42"/>
      <c r="B70" s="87" t="s">
        <v>2152</v>
      </c>
      <c r="C70" s="83" t="s">
        <v>1587</v>
      </c>
      <c r="D70" s="83" t="s">
        <v>1363</v>
      </c>
      <c r="E70" s="106">
        <v>1076</v>
      </c>
      <c r="F70" s="14"/>
    </row>
    <row r="71" spans="1:5" ht="12.75" customHeight="1" outlineLevel="1">
      <c r="A71" s="255" t="s">
        <v>1599</v>
      </c>
      <c r="B71" s="256"/>
      <c r="C71" s="256"/>
      <c r="D71" s="257"/>
      <c r="E71" s="105">
        <f>SUM(E72:E73)</f>
        <v>12810.32</v>
      </c>
    </row>
    <row r="72" spans="1:6" ht="18.75" customHeight="1" outlineLevel="2">
      <c r="A72" s="42"/>
      <c r="B72" s="83" t="s">
        <v>91</v>
      </c>
      <c r="C72" s="83" t="s">
        <v>1579</v>
      </c>
      <c r="D72" s="83" t="s">
        <v>2246</v>
      </c>
      <c r="E72" s="106">
        <v>9679.26</v>
      </c>
      <c r="F72" s="14"/>
    </row>
    <row r="73" spans="1:6" ht="15" outlineLevel="2">
      <c r="A73" s="42"/>
      <c r="B73" s="83" t="s">
        <v>1260</v>
      </c>
      <c r="C73" s="83" t="s">
        <v>1583</v>
      </c>
      <c r="D73" s="83" t="s">
        <v>949</v>
      </c>
      <c r="E73" s="106">
        <v>3131.06</v>
      </c>
      <c r="F73" s="14"/>
    </row>
    <row r="74" spans="1:5" ht="13.5" customHeight="1" outlineLevel="1">
      <c r="A74" s="255" t="s">
        <v>1713</v>
      </c>
      <c r="B74" s="256"/>
      <c r="C74" s="256"/>
      <c r="D74" s="257"/>
      <c r="E74" s="105">
        <f>SUM(E75:E86)</f>
        <v>188109.35000000003</v>
      </c>
    </row>
    <row r="75" spans="1:6" ht="15" outlineLevel="2">
      <c r="A75" s="42"/>
      <c r="B75" s="82"/>
      <c r="C75" s="82" t="s">
        <v>1577</v>
      </c>
      <c r="D75" s="82" t="s">
        <v>1496</v>
      </c>
      <c r="E75" s="106">
        <v>15951.95</v>
      </c>
      <c r="F75" s="14"/>
    </row>
    <row r="76" spans="1:6" ht="15" outlineLevel="2">
      <c r="A76" s="42"/>
      <c r="B76" s="83"/>
      <c r="C76" s="83" t="s">
        <v>1578</v>
      </c>
      <c r="D76" s="83" t="s">
        <v>1496</v>
      </c>
      <c r="E76" s="106">
        <v>15951.95</v>
      </c>
      <c r="F76" s="14"/>
    </row>
    <row r="77" spans="1:6" ht="15" outlineLevel="2">
      <c r="A77" s="42"/>
      <c r="B77" s="83"/>
      <c r="C77" s="83" t="s">
        <v>1579</v>
      </c>
      <c r="D77" s="83" t="s">
        <v>1496</v>
      </c>
      <c r="E77" s="106">
        <v>15951.95</v>
      </c>
      <c r="F77" s="14"/>
    </row>
    <row r="78" spans="1:6" ht="15" outlineLevel="2">
      <c r="A78" s="42"/>
      <c r="B78" s="83"/>
      <c r="C78" s="83" t="s">
        <v>1580</v>
      </c>
      <c r="D78" s="83" t="s">
        <v>1496</v>
      </c>
      <c r="E78" s="106">
        <v>15951.95</v>
      </c>
      <c r="F78" s="14"/>
    </row>
    <row r="79" spans="1:6" ht="15" outlineLevel="2">
      <c r="A79" s="42"/>
      <c r="B79" s="83"/>
      <c r="C79" s="83" t="s">
        <v>1581</v>
      </c>
      <c r="D79" s="83" t="s">
        <v>1496</v>
      </c>
      <c r="E79" s="106">
        <v>15281.14</v>
      </c>
      <c r="F79" s="14"/>
    </row>
    <row r="80" spans="1:6" ht="15" outlineLevel="2">
      <c r="A80" s="42"/>
      <c r="B80" s="83"/>
      <c r="C80" s="83" t="s">
        <v>1582</v>
      </c>
      <c r="D80" s="83" t="s">
        <v>1496</v>
      </c>
      <c r="E80" s="106">
        <v>15281.14</v>
      </c>
      <c r="F80" s="14"/>
    </row>
    <row r="81" spans="1:6" ht="15" outlineLevel="2">
      <c r="A81" s="42"/>
      <c r="B81" s="83"/>
      <c r="C81" s="83" t="s">
        <v>1583</v>
      </c>
      <c r="D81" s="83" t="s">
        <v>1496</v>
      </c>
      <c r="E81" s="106">
        <v>15281.14</v>
      </c>
      <c r="F81" s="14"/>
    </row>
    <row r="82" spans="1:6" ht="15" outlineLevel="2">
      <c r="A82" s="42"/>
      <c r="B82" s="83"/>
      <c r="C82" s="83" t="s">
        <v>1584</v>
      </c>
      <c r="D82" s="83" t="s">
        <v>1496</v>
      </c>
      <c r="E82" s="106">
        <v>15281.14</v>
      </c>
      <c r="F82" s="14"/>
    </row>
    <row r="83" spans="1:6" ht="15" outlineLevel="2">
      <c r="A83" s="42"/>
      <c r="B83" s="83"/>
      <c r="C83" s="83" t="s">
        <v>1585</v>
      </c>
      <c r="D83" s="83" t="s">
        <v>1496</v>
      </c>
      <c r="E83" s="106">
        <v>15281.14</v>
      </c>
      <c r="F83" s="14"/>
    </row>
    <row r="84" spans="1:6" ht="15" outlineLevel="2">
      <c r="A84" s="42"/>
      <c r="B84" s="83"/>
      <c r="C84" s="83" t="s">
        <v>1586</v>
      </c>
      <c r="D84" s="83" t="s">
        <v>1496</v>
      </c>
      <c r="E84" s="106">
        <v>15951.95</v>
      </c>
      <c r="F84" s="14"/>
    </row>
    <row r="85" spans="1:6" ht="15" outlineLevel="2">
      <c r="A85" s="42"/>
      <c r="B85" s="83"/>
      <c r="C85" s="83" t="s">
        <v>1587</v>
      </c>
      <c r="D85" s="83" t="s">
        <v>1496</v>
      </c>
      <c r="E85" s="106">
        <v>15951.95</v>
      </c>
      <c r="F85" s="14"/>
    </row>
    <row r="86" spans="1:6" ht="15" outlineLevel="2">
      <c r="A86" s="42"/>
      <c r="B86" s="89"/>
      <c r="C86" s="83" t="s">
        <v>1588</v>
      </c>
      <c r="D86" s="83" t="s">
        <v>1496</v>
      </c>
      <c r="E86" s="106">
        <v>15991.95</v>
      </c>
      <c r="F86" s="14"/>
    </row>
    <row r="87" spans="1:5" ht="14.25" customHeight="1" outlineLevel="1">
      <c r="A87" s="255" t="s">
        <v>1714</v>
      </c>
      <c r="B87" s="256"/>
      <c r="C87" s="256"/>
      <c r="D87" s="257"/>
      <c r="E87" s="105">
        <f>1.46*4506.2*12</f>
        <v>78948.624</v>
      </c>
    </row>
    <row r="88" spans="1:5" ht="13.5" customHeight="1" outlineLevel="1">
      <c r="A88" s="255" t="s">
        <v>1715</v>
      </c>
      <c r="B88" s="256"/>
      <c r="C88" s="256"/>
      <c r="D88" s="257"/>
      <c r="E88" s="105">
        <f>SUM(E89:E109)</f>
        <v>32536.235</v>
      </c>
    </row>
    <row r="89" spans="1:6" ht="15" outlineLevel="2">
      <c r="A89" s="42"/>
      <c r="B89" s="82" t="s">
        <v>870</v>
      </c>
      <c r="C89" s="82" t="s">
        <v>1577</v>
      </c>
      <c r="D89" s="82" t="s">
        <v>1500</v>
      </c>
      <c r="E89" s="106">
        <v>42.33</v>
      </c>
      <c r="F89" s="14"/>
    </row>
    <row r="90" spans="1:6" ht="15" outlineLevel="2">
      <c r="A90" s="42"/>
      <c r="B90" s="83" t="s">
        <v>6</v>
      </c>
      <c r="C90" s="83" t="s">
        <v>1577</v>
      </c>
      <c r="D90" s="83" t="s">
        <v>1364</v>
      </c>
      <c r="E90" s="106">
        <v>711.82</v>
      </c>
      <c r="F90" s="14"/>
    </row>
    <row r="91" spans="1:6" ht="15" outlineLevel="2">
      <c r="A91" s="42"/>
      <c r="B91" s="83" t="s">
        <v>241</v>
      </c>
      <c r="C91" s="83" t="s">
        <v>1578</v>
      </c>
      <c r="D91" s="83" t="s">
        <v>1500</v>
      </c>
      <c r="E91" s="106">
        <v>60.8</v>
      </c>
      <c r="F91" s="14"/>
    </row>
    <row r="92" spans="1:6" ht="15" outlineLevel="2">
      <c r="A92" s="42"/>
      <c r="B92" s="83" t="s">
        <v>2</v>
      </c>
      <c r="C92" s="83" t="s">
        <v>1578</v>
      </c>
      <c r="D92" s="83" t="s">
        <v>195</v>
      </c>
      <c r="E92" s="106">
        <v>85.605</v>
      </c>
      <c r="F92" s="14"/>
    </row>
    <row r="93" spans="1:6" ht="15" outlineLevel="2">
      <c r="A93" s="42"/>
      <c r="B93" s="83" t="s">
        <v>2</v>
      </c>
      <c r="C93" s="83" t="s">
        <v>1578</v>
      </c>
      <c r="D93" s="83" t="s">
        <v>2267</v>
      </c>
      <c r="E93" s="106">
        <v>287.76</v>
      </c>
      <c r="F93" s="14"/>
    </row>
    <row r="94" spans="1:6" ht="15" outlineLevel="2">
      <c r="A94" s="42"/>
      <c r="B94" s="83" t="s">
        <v>873</v>
      </c>
      <c r="C94" s="83" t="s">
        <v>1578</v>
      </c>
      <c r="D94" s="83" t="s">
        <v>1500</v>
      </c>
      <c r="E94" s="106">
        <v>1301.57</v>
      </c>
      <c r="F94" s="14"/>
    </row>
    <row r="95" spans="1:6" ht="15" outlineLevel="2">
      <c r="A95" s="42"/>
      <c r="B95" s="83" t="s">
        <v>2132</v>
      </c>
      <c r="C95" s="83" t="s">
        <v>1579</v>
      </c>
      <c r="D95" s="83" t="s">
        <v>1500</v>
      </c>
      <c r="E95" s="106">
        <v>65.26</v>
      </c>
      <c r="F95" s="14"/>
    </row>
    <row r="96" spans="1:6" ht="15" outlineLevel="2">
      <c r="A96" s="42"/>
      <c r="B96" s="83" t="s">
        <v>2</v>
      </c>
      <c r="C96" s="83" t="s">
        <v>1579</v>
      </c>
      <c r="D96" s="83" t="s">
        <v>2269</v>
      </c>
      <c r="E96" s="106">
        <v>65.94</v>
      </c>
      <c r="F96" s="14"/>
    </row>
    <row r="97" spans="1:6" ht="15" outlineLevel="2">
      <c r="A97" s="42"/>
      <c r="B97" s="83" t="s">
        <v>139</v>
      </c>
      <c r="C97" s="83" t="s">
        <v>1580</v>
      </c>
      <c r="D97" s="83" t="s">
        <v>2233</v>
      </c>
      <c r="E97" s="106">
        <v>578.08</v>
      </c>
      <c r="F97" s="14"/>
    </row>
    <row r="98" spans="1:6" ht="15" outlineLevel="2">
      <c r="A98" s="42"/>
      <c r="B98" s="83" t="s">
        <v>1678</v>
      </c>
      <c r="C98" s="83" t="s">
        <v>1581</v>
      </c>
      <c r="D98" s="83" t="s">
        <v>607</v>
      </c>
      <c r="E98" s="106">
        <v>513.59</v>
      </c>
      <c r="F98" s="14"/>
    </row>
    <row r="99" spans="1:6" ht="15" outlineLevel="2">
      <c r="A99" s="42"/>
      <c r="B99" s="83" t="s">
        <v>1687</v>
      </c>
      <c r="C99" s="83" t="s">
        <v>1582</v>
      </c>
      <c r="D99" s="83" t="s">
        <v>1005</v>
      </c>
      <c r="E99" s="106">
        <v>1688</v>
      </c>
      <c r="F99" s="14"/>
    </row>
    <row r="100" spans="1:6" ht="15" outlineLevel="2">
      <c r="A100" s="42"/>
      <c r="B100" s="83" t="s">
        <v>102</v>
      </c>
      <c r="C100" s="83" t="s">
        <v>1582</v>
      </c>
      <c r="D100" s="83" t="s">
        <v>110</v>
      </c>
      <c r="E100" s="106">
        <v>3647.64</v>
      </c>
      <c r="F100" s="14"/>
    </row>
    <row r="101" spans="1:6" ht="30" outlineLevel="2">
      <c r="A101" s="42"/>
      <c r="B101" s="83" t="s">
        <v>763</v>
      </c>
      <c r="C101" s="83" t="s">
        <v>1582</v>
      </c>
      <c r="D101" s="83" t="s">
        <v>762</v>
      </c>
      <c r="E101" s="106">
        <v>250</v>
      </c>
      <c r="F101" s="14"/>
    </row>
    <row r="102" spans="1:6" ht="15" outlineLevel="2">
      <c r="A102" s="42"/>
      <c r="B102" s="83" t="s">
        <v>1503</v>
      </c>
      <c r="C102" s="83" t="s">
        <v>1583</v>
      </c>
      <c r="D102" s="83" t="s">
        <v>1504</v>
      </c>
      <c r="E102" s="106">
        <v>270</v>
      </c>
      <c r="F102" s="14"/>
    </row>
    <row r="103" spans="1:6" ht="15" outlineLevel="2">
      <c r="A103" s="42"/>
      <c r="B103" s="83" t="s">
        <v>1661</v>
      </c>
      <c r="C103" s="83" t="s">
        <v>1584</v>
      </c>
      <c r="D103" s="83" t="s">
        <v>1504</v>
      </c>
      <c r="E103" s="106">
        <v>9270</v>
      </c>
      <c r="F103" s="14"/>
    </row>
    <row r="104" spans="1:6" ht="15" outlineLevel="2">
      <c r="A104" s="42"/>
      <c r="B104" s="83" t="s">
        <v>1671</v>
      </c>
      <c r="C104" s="83" t="s">
        <v>1584</v>
      </c>
      <c r="D104" s="83" t="s">
        <v>1672</v>
      </c>
      <c r="E104" s="106">
        <f>1702.23+204.27</f>
        <v>1906.5</v>
      </c>
      <c r="F104" s="14"/>
    </row>
    <row r="105" spans="1:6" ht="15" outlineLevel="2">
      <c r="A105" s="42"/>
      <c r="B105" s="83" t="s">
        <v>1221</v>
      </c>
      <c r="C105" s="83" t="s">
        <v>1584</v>
      </c>
      <c r="D105" s="83" t="s">
        <v>1222</v>
      </c>
      <c r="E105" s="106">
        <v>8380</v>
      </c>
      <c r="F105" s="14"/>
    </row>
    <row r="106" spans="1:6" ht="15" outlineLevel="2">
      <c r="A106" s="42"/>
      <c r="B106" s="83" t="s">
        <v>2049</v>
      </c>
      <c r="C106" s="83" t="s">
        <v>1585</v>
      </c>
      <c r="D106" s="83" t="s">
        <v>1672</v>
      </c>
      <c r="E106" s="106">
        <v>758.53</v>
      </c>
      <c r="F106" s="14"/>
    </row>
    <row r="107" spans="1:6" ht="15" outlineLevel="2">
      <c r="A107" s="42"/>
      <c r="B107" s="83" t="s">
        <v>2090</v>
      </c>
      <c r="C107" s="83" t="s">
        <v>1586</v>
      </c>
      <c r="D107" s="83" t="s">
        <v>1672</v>
      </c>
      <c r="E107" s="106">
        <v>102.4</v>
      </c>
      <c r="F107" s="14"/>
    </row>
    <row r="108" spans="1:6" ht="15" outlineLevel="2">
      <c r="A108" s="42"/>
      <c r="B108" s="83" t="s">
        <v>1627</v>
      </c>
      <c r="C108" s="83" t="s">
        <v>1585</v>
      </c>
      <c r="D108" s="83" t="s">
        <v>110</v>
      </c>
      <c r="E108" s="106">
        <v>2350</v>
      </c>
      <c r="F108" s="14"/>
    </row>
    <row r="109" spans="1:6" ht="15" outlineLevel="2">
      <c r="A109" s="42"/>
      <c r="B109" s="83" t="s">
        <v>2164</v>
      </c>
      <c r="C109" s="83" t="s">
        <v>1588</v>
      </c>
      <c r="D109" s="83" t="s">
        <v>2165</v>
      </c>
      <c r="E109" s="106">
        <v>200.41</v>
      </c>
      <c r="F109" s="14"/>
    </row>
    <row r="110" spans="1:5" ht="13.5" customHeight="1" outlineLevel="1">
      <c r="A110" s="255" t="s">
        <v>1716</v>
      </c>
      <c r="B110" s="256"/>
      <c r="C110" s="256"/>
      <c r="D110" s="257"/>
      <c r="E110" s="105">
        <f>SUM(E111:E112)</f>
        <v>1889.95</v>
      </c>
    </row>
    <row r="111" spans="1:6" ht="15" outlineLevel="2">
      <c r="A111" s="42"/>
      <c r="B111" s="82" t="s">
        <v>1267</v>
      </c>
      <c r="C111" s="82" t="s">
        <v>1577</v>
      </c>
      <c r="D111" s="82" t="s">
        <v>865</v>
      </c>
      <c r="E111" s="106">
        <v>776.95</v>
      </c>
      <c r="F111" s="14"/>
    </row>
    <row r="112" spans="1:6" ht="15" outlineLevel="2">
      <c r="A112" s="42"/>
      <c r="B112" s="83" t="s">
        <v>1226</v>
      </c>
      <c r="C112" s="83" t="s">
        <v>1585</v>
      </c>
      <c r="D112" s="83" t="s">
        <v>1451</v>
      </c>
      <c r="E112" s="106">
        <v>1113</v>
      </c>
      <c r="F112" s="14"/>
    </row>
    <row r="113" spans="1:5" ht="12.75" customHeight="1" outlineLevel="1">
      <c r="A113" s="255" t="s">
        <v>1717</v>
      </c>
      <c r="B113" s="256"/>
      <c r="C113" s="256"/>
      <c r="D113" s="257"/>
      <c r="E113" s="105">
        <f>SUM(E114:E115)</f>
        <v>626.22</v>
      </c>
    </row>
    <row r="114" spans="1:6" ht="15" outlineLevel="2">
      <c r="A114" s="42"/>
      <c r="B114" s="82" t="s">
        <v>1267</v>
      </c>
      <c r="C114" s="82" t="s">
        <v>1577</v>
      </c>
      <c r="D114" s="82" t="s">
        <v>1495</v>
      </c>
      <c r="E114" s="106">
        <v>318.24</v>
      </c>
      <c r="F114" s="14"/>
    </row>
    <row r="115" spans="1:6" ht="15" outlineLevel="2">
      <c r="A115" s="42"/>
      <c r="B115" s="83" t="s">
        <v>2</v>
      </c>
      <c r="C115" s="83" t="s">
        <v>1581</v>
      </c>
      <c r="D115" s="83" t="s">
        <v>942</v>
      </c>
      <c r="E115" s="106">
        <v>307.98</v>
      </c>
      <c r="F115" s="14"/>
    </row>
    <row r="116" spans="1:5" ht="15" customHeight="1" outlineLevel="1">
      <c r="A116" s="255" t="s">
        <v>1595</v>
      </c>
      <c r="B116" s="256"/>
      <c r="C116" s="256"/>
      <c r="D116" s="257"/>
      <c r="E116" s="105">
        <f>SUM(E117:E128)</f>
        <v>16520.96</v>
      </c>
    </row>
    <row r="117" spans="1:6" ht="15" outlineLevel="2">
      <c r="A117" s="42"/>
      <c r="B117" s="82" t="s">
        <v>2008</v>
      </c>
      <c r="C117" s="82" t="s">
        <v>1577</v>
      </c>
      <c r="D117" s="82" t="s">
        <v>2009</v>
      </c>
      <c r="E117" s="106">
        <v>836.11</v>
      </c>
      <c r="F117" s="14"/>
    </row>
    <row r="118" spans="1:6" ht="14.25" customHeight="1" outlineLevel="2">
      <c r="A118" s="42"/>
      <c r="B118" s="83" t="s">
        <v>872</v>
      </c>
      <c r="C118" s="83" t="s">
        <v>1578</v>
      </c>
      <c r="D118" s="83" t="s">
        <v>1029</v>
      </c>
      <c r="E118" s="106">
        <v>148.9</v>
      </c>
      <c r="F118" s="14"/>
    </row>
    <row r="119" spans="1:6" ht="15" outlineLevel="2">
      <c r="A119" s="42"/>
      <c r="B119" s="83" t="s">
        <v>1061</v>
      </c>
      <c r="C119" s="83" t="s">
        <v>1578</v>
      </c>
      <c r="D119" s="83" t="s">
        <v>2025</v>
      </c>
      <c r="E119" s="106">
        <v>341.27</v>
      </c>
      <c r="F119" s="14"/>
    </row>
    <row r="120" spans="1:6" ht="15" outlineLevel="2">
      <c r="A120" s="42"/>
      <c r="B120" s="83" t="s">
        <v>878</v>
      </c>
      <c r="C120" s="83" t="s">
        <v>1579</v>
      </c>
      <c r="D120" s="83" t="s">
        <v>2301</v>
      </c>
      <c r="E120" s="106">
        <v>550.6</v>
      </c>
      <c r="F120" s="14"/>
    </row>
    <row r="121" spans="1:6" ht="15" outlineLevel="2">
      <c r="A121" s="42"/>
      <c r="B121" s="83" t="s">
        <v>133</v>
      </c>
      <c r="C121" s="83" t="s">
        <v>1579</v>
      </c>
      <c r="D121" s="83" t="s">
        <v>2325</v>
      </c>
      <c r="E121" s="106">
        <v>114.24</v>
      </c>
      <c r="F121" s="14"/>
    </row>
    <row r="122" spans="1:6" ht="15" customHeight="1" outlineLevel="2">
      <c r="A122" s="42"/>
      <c r="B122" s="83" t="s">
        <v>1992</v>
      </c>
      <c r="C122" s="83" t="s">
        <v>1579</v>
      </c>
      <c r="D122" s="83" t="s">
        <v>1607</v>
      </c>
      <c r="E122" s="106">
        <v>1698.54</v>
      </c>
      <c r="F122" s="14"/>
    </row>
    <row r="123" spans="1:6" ht="15" outlineLevel="2">
      <c r="A123" s="42"/>
      <c r="B123" s="83" t="s">
        <v>1026</v>
      </c>
      <c r="C123" s="83" t="s">
        <v>1580</v>
      </c>
      <c r="D123" s="83" t="s">
        <v>1027</v>
      </c>
      <c r="E123" s="106">
        <v>89</v>
      </c>
      <c r="F123" s="14"/>
    </row>
    <row r="124" spans="1:6" ht="15" outlineLevel="2">
      <c r="A124" s="42"/>
      <c r="B124" s="83" t="s">
        <v>1253</v>
      </c>
      <c r="C124" s="83" t="s">
        <v>1581</v>
      </c>
      <c r="D124" s="83" t="s">
        <v>1440</v>
      </c>
      <c r="E124" s="106">
        <v>492.1</v>
      </c>
      <c r="F124" s="14"/>
    </row>
    <row r="125" spans="1:6" ht="15" outlineLevel="2">
      <c r="A125" s="42"/>
      <c r="B125" s="83" t="s">
        <v>1666</v>
      </c>
      <c r="C125" s="83" t="s">
        <v>1584</v>
      </c>
      <c r="D125" s="83" t="s">
        <v>1667</v>
      </c>
      <c r="E125" s="106">
        <v>47</v>
      </c>
      <c r="F125" s="14"/>
    </row>
    <row r="126" spans="1:6" ht="15" outlineLevel="2">
      <c r="A126" s="42"/>
      <c r="B126" s="83" t="s">
        <v>1452</v>
      </c>
      <c r="C126" s="83" t="s">
        <v>1585</v>
      </c>
      <c r="D126" s="83" t="s">
        <v>1453</v>
      </c>
      <c r="E126" s="106">
        <v>5032</v>
      </c>
      <c r="F126" s="14"/>
    </row>
    <row r="127" spans="1:6" ht="15" outlineLevel="2">
      <c r="A127" s="42"/>
      <c r="B127" s="83" t="s">
        <v>360</v>
      </c>
      <c r="C127" s="83" t="s">
        <v>1587</v>
      </c>
      <c r="D127" s="83" t="s">
        <v>361</v>
      </c>
      <c r="E127" s="106">
        <v>6882</v>
      </c>
      <c r="F127" s="14"/>
    </row>
    <row r="128" spans="1:6" ht="15" outlineLevel="2">
      <c r="A128" s="42"/>
      <c r="B128" s="83" t="s">
        <v>5</v>
      </c>
      <c r="C128" s="83" t="s">
        <v>1588</v>
      </c>
      <c r="D128" s="83" t="s">
        <v>1028</v>
      </c>
      <c r="E128" s="106">
        <v>289.2</v>
      </c>
      <c r="F128" s="14"/>
    </row>
    <row r="129" spans="1:5" ht="12.75" customHeight="1" outlineLevel="1">
      <c r="A129" s="317" t="s">
        <v>1718</v>
      </c>
      <c r="B129" s="318"/>
      <c r="C129" s="318"/>
      <c r="D129" s="319"/>
      <c r="E129" s="105">
        <f>SUM(E130:E133)</f>
        <v>5350.13</v>
      </c>
    </row>
    <row r="130" spans="1:6" ht="15" outlineLevel="2">
      <c r="A130" s="42"/>
      <c r="B130" s="82" t="s">
        <v>83</v>
      </c>
      <c r="C130" s="82" t="s">
        <v>1577</v>
      </c>
      <c r="D130" s="82" t="s">
        <v>1922</v>
      </c>
      <c r="E130" s="106">
        <v>1318</v>
      </c>
      <c r="F130" s="14"/>
    </row>
    <row r="131" spans="1:6" ht="15" outlineLevel="2">
      <c r="A131" s="42"/>
      <c r="B131" s="83" t="s">
        <v>1921</v>
      </c>
      <c r="C131" s="83" t="s">
        <v>1577</v>
      </c>
      <c r="D131" s="83" t="s">
        <v>351</v>
      </c>
      <c r="E131" s="106">
        <v>658.9</v>
      </c>
      <c r="F131" s="14"/>
    </row>
    <row r="132" spans="1:6" ht="15" outlineLevel="2">
      <c r="A132" s="42"/>
      <c r="B132" s="83" t="s">
        <v>2</v>
      </c>
      <c r="C132" s="83" t="s">
        <v>1581</v>
      </c>
      <c r="D132" s="83" t="s">
        <v>2390</v>
      </c>
      <c r="E132" s="106">
        <v>2300.23</v>
      </c>
      <c r="F132" s="14"/>
    </row>
    <row r="133" spans="1:6" ht="15" outlineLevel="2">
      <c r="A133" s="42"/>
      <c r="B133" s="83" t="s">
        <v>2152</v>
      </c>
      <c r="C133" s="83" t="s">
        <v>1587</v>
      </c>
      <c r="D133" s="83" t="s">
        <v>2153</v>
      </c>
      <c r="E133" s="106">
        <v>1073</v>
      </c>
      <c r="F133" s="14"/>
    </row>
    <row r="134" spans="1:6" ht="15" customHeight="1" outlineLevel="1">
      <c r="A134" s="42"/>
      <c r="B134" s="83" t="s">
        <v>756</v>
      </c>
      <c r="C134" s="83" t="s">
        <v>1581</v>
      </c>
      <c r="D134" s="83" t="s">
        <v>757</v>
      </c>
      <c r="E134" s="106">
        <v>6084</v>
      </c>
      <c r="F134" s="14"/>
    </row>
    <row r="135" spans="1:6" ht="30" outlineLevel="1">
      <c r="A135" s="42"/>
      <c r="B135" s="84" t="s">
        <v>710</v>
      </c>
      <c r="C135" s="84" t="s">
        <v>1583</v>
      </c>
      <c r="D135" s="84" t="s">
        <v>711</v>
      </c>
      <c r="E135" s="106">
        <v>6084</v>
      </c>
      <c r="F135" s="14"/>
    </row>
    <row r="136" spans="1:6" ht="15.75" customHeight="1" outlineLevel="1">
      <c r="A136" s="255" t="s">
        <v>0</v>
      </c>
      <c r="B136" s="256"/>
      <c r="C136" s="256"/>
      <c r="D136" s="257"/>
      <c r="E136" s="105">
        <f>0.1*4506.2*12</f>
        <v>5407.4400000000005</v>
      </c>
      <c r="F136" s="14"/>
    </row>
    <row r="137" spans="1:6" ht="14.25" customHeight="1" outlineLevel="1">
      <c r="A137" s="255" t="s">
        <v>1369</v>
      </c>
      <c r="B137" s="256"/>
      <c r="C137" s="256"/>
      <c r="D137" s="257"/>
      <c r="E137" s="105">
        <v>3166.66</v>
      </c>
      <c r="F137" s="14"/>
    </row>
    <row r="138" spans="1:6" ht="15">
      <c r="A138" s="42"/>
      <c r="B138" s="273" t="s">
        <v>255</v>
      </c>
      <c r="C138" s="273"/>
      <c r="D138" s="273"/>
      <c r="E138" s="43">
        <f>0.94*4506.2*12</f>
        <v>50829.935999999994</v>
      </c>
      <c r="F138" s="26"/>
    </row>
    <row r="139" spans="1:6" ht="15">
      <c r="A139" s="42"/>
      <c r="B139" s="270" t="s">
        <v>59</v>
      </c>
      <c r="C139" s="270"/>
      <c r="D139" s="270"/>
      <c r="E139" s="43">
        <f>1.57*4506.2*12</f>
        <v>84896.808</v>
      </c>
      <c r="F139" s="14"/>
    </row>
    <row r="140" spans="1:6" ht="15">
      <c r="A140" s="42"/>
      <c r="B140" s="270" t="s">
        <v>256</v>
      </c>
      <c r="C140" s="270"/>
      <c r="D140" s="270"/>
      <c r="E140" s="43">
        <f>10.3*(E142+E143)/100</f>
        <v>119469.60936000003</v>
      </c>
      <c r="F140" s="14"/>
    </row>
    <row r="141" spans="1:5" ht="15">
      <c r="A141" s="42">
        <v>1</v>
      </c>
      <c r="B141" s="272" t="s">
        <v>659</v>
      </c>
      <c r="C141" s="272"/>
      <c r="D141" s="272"/>
      <c r="E141" s="44">
        <f>E140+E139+E138+E15+E3</f>
        <v>891588.3723599999</v>
      </c>
    </row>
    <row r="142" spans="1:6" ht="15">
      <c r="A142" s="42">
        <v>2</v>
      </c>
      <c r="B142" s="270" t="s">
        <v>258</v>
      </c>
      <c r="C142" s="270"/>
      <c r="D142" s="270"/>
      <c r="E142" s="43">
        <v>1019305.68</v>
      </c>
      <c r="F142" s="14"/>
    </row>
    <row r="143" spans="1:5" ht="15">
      <c r="A143" s="42">
        <v>3</v>
      </c>
      <c r="B143" s="270" t="s">
        <v>259</v>
      </c>
      <c r="C143" s="270"/>
      <c r="D143" s="270"/>
      <c r="E143" s="43">
        <v>140593.44</v>
      </c>
    </row>
    <row r="144" spans="1:5" ht="15">
      <c r="A144" s="42">
        <v>4</v>
      </c>
      <c r="B144" s="270" t="s">
        <v>660</v>
      </c>
      <c r="C144" s="270"/>
      <c r="D144" s="270"/>
      <c r="E144" s="43">
        <v>3192896.55</v>
      </c>
    </row>
    <row r="145" spans="1:5" ht="15">
      <c r="A145" s="42">
        <v>5</v>
      </c>
      <c r="B145" s="270" t="s">
        <v>2340</v>
      </c>
      <c r="C145" s="270"/>
      <c r="D145" s="270"/>
      <c r="E145" s="43">
        <v>2519742.6</v>
      </c>
    </row>
    <row r="146" spans="1:5" ht="15">
      <c r="A146" s="42">
        <v>6</v>
      </c>
      <c r="B146" s="272" t="s">
        <v>2341</v>
      </c>
      <c r="C146" s="272"/>
      <c r="D146" s="272"/>
      <c r="E146" s="44">
        <f>E141+'[5]Мира 32'!$E$151</f>
        <v>2839554.9623600002</v>
      </c>
    </row>
    <row r="147" spans="1:5" ht="15">
      <c r="A147" s="42">
        <v>7</v>
      </c>
      <c r="B147" s="270" t="s">
        <v>732</v>
      </c>
      <c r="C147" s="270"/>
      <c r="D147" s="270"/>
      <c r="E147" s="43">
        <v>441200.7</v>
      </c>
    </row>
    <row r="148" spans="1:5" ht="15">
      <c r="A148" s="42">
        <v>8</v>
      </c>
      <c r="B148" s="270" t="s">
        <v>733</v>
      </c>
      <c r="C148" s="270"/>
      <c r="D148" s="270"/>
      <c r="E148" s="43">
        <v>348165.8</v>
      </c>
    </row>
    <row r="149" spans="1:5" ht="15">
      <c r="A149" s="42">
        <v>9</v>
      </c>
      <c r="B149" s="272" t="s">
        <v>734</v>
      </c>
      <c r="C149" s="272"/>
      <c r="D149" s="272"/>
      <c r="E149" s="44">
        <f>E152+'[5]Мира 32'!$E$154</f>
        <v>427293</v>
      </c>
    </row>
    <row r="150" spans="1:5" ht="15">
      <c r="A150" s="42">
        <v>10</v>
      </c>
      <c r="B150" s="270" t="s">
        <v>260</v>
      </c>
      <c r="C150" s="270"/>
      <c r="D150" s="270"/>
      <c r="E150" s="43">
        <v>850958.53</v>
      </c>
    </row>
    <row r="151" spans="1:5" ht="15">
      <c r="A151" s="42">
        <v>11</v>
      </c>
      <c r="B151" s="270" t="s">
        <v>735</v>
      </c>
      <c r="C151" s="270"/>
      <c r="D151" s="270"/>
      <c r="E151" s="43">
        <v>117373.21</v>
      </c>
    </row>
    <row r="152" spans="1:5" ht="15">
      <c r="A152" s="42">
        <v>12</v>
      </c>
      <c r="B152" s="272" t="s">
        <v>736</v>
      </c>
      <c r="C152" s="272"/>
      <c r="D152" s="272"/>
      <c r="E152" s="44">
        <v>0</v>
      </c>
    </row>
    <row r="153" spans="1:5" ht="18" customHeight="1">
      <c r="A153" s="42">
        <v>13</v>
      </c>
      <c r="B153" s="271" t="s">
        <v>737</v>
      </c>
      <c r="C153" s="271"/>
      <c r="D153" s="271"/>
      <c r="E153" s="45">
        <f>E144-E146</f>
        <v>353341.5876399996</v>
      </c>
    </row>
    <row r="154" spans="1:5" ht="15" customHeight="1">
      <c r="A154" s="42">
        <v>14</v>
      </c>
      <c r="B154" s="271" t="s">
        <v>738</v>
      </c>
      <c r="C154" s="271"/>
      <c r="D154" s="271"/>
      <c r="E154" s="45">
        <f>E147-E149</f>
        <v>13907.700000000012</v>
      </c>
    </row>
    <row r="155" spans="1:5" ht="28.5" customHeight="1">
      <c r="A155" s="42">
        <v>15</v>
      </c>
      <c r="B155" s="271" t="s">
        <v>2273</v>
      </c>
      <c r="C155" s="271"/>
      <c r="D155" s="271"/>
      <c r="E155" s="45">
        <f>E145-E146</f>
        <v>-319812.36236000014</v>
      </c>
    </row>
    <row r="156" ht="12.75">
      <c r="E156" s="39"/>
    </row>
    <row r="157" spans="1:5" ht="12.75">
      <c r="A157" s="20"/>
      <c r="B157" s="20"/>
      <c r="E157" s="39"/>
    </row>
    <row r="158" spans="1:5" ht="12.75">
      <c r="A158" s="20"/>
      <c r="B158" s="20"/>
      <c r="E158" s="39"/>
    </row>
    <row r="159" spans="1:5" ht="12.75">
      <c r="A159" s="20"/>
      <c r="B159" s="20"/>
      <c r="E159" s="39"/>
    </row>
    <row r="160" spans="1:5" ht="12.75">
      <c r="A160" s="20"/>
      <c r="B160" s="20"/>
      <c r="E160" s="39"/>
    </row>
    <row r="161" spans="1:2" ht="12.75">
      <c r="A161" s="20"/>
      <c r="B161" s="20"/>
    </row>
  </sheetData>
  <sheetProtection/>
  <mergeCells count="41">
    <mergeCell ref="B138:D138"/>
    <mergeCell ref="A16:D16"/>
    <mergeCell ref="A22:D22"/>
    <mergeCell ref="A50:D50"/>
    <mergeCell ref="A30:D30"/>
    <mergeCell ref="A113:D113"/>
    <mergeCell ref="A74:D74"/>
    <mergeCell ref="A1:E1"/>
    <mergeCell ref="A4:D4"/>
    <mergeCell ref="A6:D6"/>
    <mergeCell ref="A9:D9"/>
    <mergeCell ref="B3:C3"/>
    <mergeCell ref="A11:D11"/>
    <mergeCell ref="B141:D141"/>
    <mergeCell ref="B140:D140"/>
    <mergeCell ref="A116:D116"/>
    <mergeCell ref="A66:D66"/>
    <mergeCell ref="A71:D71"/>
    <mergeCell ref="B15:C15"/>
    <mergeCell ref="B139:D139"/>
    <mergeCell ref="A136:D136"/>
    <mergeCell ref="A129:D129"/>
    <mergeCell ref="A137:D137"/>
    <mergeCell ref="B145:D145"/>
    <mergeCell ref="B151:D151"/>
    <mergeCell ref="B146:D146"/>
    <mergeCell ref="A87:D87"/>
    <mergeCell ref="A13:D13"/>
    <mergeCell ref="A88:D88"/>
    <mergeCell ref="A110:D110"/>
    <mergeCell ref="B143:D143"/>
    <mergeCell ref="B144:D144"/>
    <mergeCell ref="B142:D142"/>
    <mergeCell ref="B155:D155"/>
    <mergeCell ref="B147:D147"/>
    <mergeCell ref="B148:D148"/>
    <mergeCell ref="B149:D149"/>
    <mergeCell ref="B150:D150"/>
    <mergeCell ref="B153:D153"/>
    <mergeCell ref="B154:D154"/>
    <mergeCell ref="B152:D152"/>
  </mergeCells>
  <printOptions/>
  <pageMargins left="0.3937007874015748" right="0.1968503937007874" top="0.8267716535433072" bottom="0.2362204724409449" header="0.1968503937007874" footer="0.15748031496062992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2"/>
  <sheetViews>
    <sheetView zoomScalePageLayoutView="0" workbookViewId="0" topLeftCell="A1">
      <selection activeCell="E117" sqref="A1:E117"/>
    </sheetView>
  </sheetViews>
  <sheetFormatPr defaultColWidth="13.421875" defaultRowHeight="12.75" outlineLevelRow="2"/>
  <cols>
    <col min="1" max="1" width="1.8515625" style="1" customWidth="1"/>
    <col min="2" max="2" width="11.8515625" style="1" customWidth="1"/>
    <col min="3" max="3" width="14.7109375" style="1" customWidth="1"/>
    <col min="4" max="4" width="80.4218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258" t="s">
        <v>2247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5">
      <c r="A3" s="91"/>
      <c r="B3" s="308"/>
      <c r="C3" s="308"/>
      <c r="D3" s="155" t="s">
        <v>1575</v>
      </c>
      <c r="E3" s="130">
        <f>E4+E7+E9</f>
        <v>143078.87</v>
      </c>
    </row>
    <row r="4" spans="1:5" ht="12.75" customHeight="1" outlineLevel="1">
      <c r="A4" s="255" t="s">
        <v>1591</v>
      </c>
      <c r="B4" s="256"/>
      <c r="C4" s="256"/>
      <c r="D4" s="257"/>
      <c r="E4" s="105">
        <f>SUM(E5:E6)</f>
        <v>42901.96</v>
      </c>
    </row>
    <row r="5" spans="1:6" ht="15" outlineLevel="2">
      <c r="A5" s="81"/>
      <c r="B5" s="82" t="s">
        <v>2074</v>
      </c>
      <c r="C5" s="82" t="s">
        <v>1577</v>
      </c>
      <c r="D5" s="82" t="s">
        <v>1502</v>
      </c>
      <c r="E5" s="106">
        <v>32275.93</v>
      </c>
      <c r="F5" s="14"/>
    </row>
    <row r="6" spans="1:6" ht="15" outlineLevel="2">
      <c r="A6" s="81"/>
      <c r="B6" s="84" t="s">
        <v>1166</v>
      </c>
      <c r="C6" s="84" t="s">
        <v>1583</v>
      </c>
      <c r="D6" s="84" t="s">
        <v>1167</v>
      </c>
      <c r="E6" s="106">
        <v>10626.03</v>
      </c>
      <c r="F6" s="14"/>
    </row>
    <row r="7" spans="1:5" ht="15" customHeight="1" outlineLevel="1">
      <c r="A7" s="255" t="s">
        <v>1596</v>
      </c>
      <c r="B7" s="256"/>
      <c r="C7" s="256"/>
      <c r="D7" s="257"/>
      <c r="E7" s="105">
        <f>SUM(E8:E8)</f>
        <v>8453.91</v>
      </c>
    </row>
    <row r="8" spans="1:6" ht="15" outlineLevel="2">
      <c r="A8" s="81"/>
      <c r="B8" s="84" t="s">
        <v>1863</v>
      </c>
      <c r="C8" s="84" t="s">
        <v>1586</v>
      </c>
      <c r="D8" s="84" t="s">
        <v>1864</v>
      </c>
      <c r="E8" s="106">
        <v>8453.91</v>
      </c>
      <c r="F8" s="14"/>
    </row>
    <row r="9" spans="1:5" ht="13.5" customHeight="1" outlineLevel="1">
      <c r="A9" s="255" t="s">
        <v>1597</v>
      </c>
      <c r="B9" s="256"/>
      <c r="C9" s="256"/>
      <c r="D9" s="257"/>
      <c r="E9" s="105">
        <f>SUM(E10:E11)</f>
        <v>91723</v>
      </c>
    </row>
    <row r="10" spans="1:6" ht="15" outlineLevel="2">
      <c r="A10" s="81"/>
      <c r="B10" s="83" t="s">
        <v>513</v>
      </c>
      <c r="C10" s="83" t="s">
        <v>1584</v>
      </c>
      <c r="D10" s="83" t="s">
        <v>514</v>
      </c>
      <c r="E10" s="106">
        <v>50936</v>
      </c>
      <c r="F10" s="14"/>
    </row>
    <row r="11" spans="1:6" ht="15" outlineLevel="2">
      <c r="A11" s="81"/>
      <c r="B11" s="84" t="s">
        <v>518</v>
      </c>
      <c r="C11" s="84" t="s">
        <v>1584</v>
      </c>
      <c r="D11" s="84" t="s">
        <v>519</v>
      </c>
      <c r="E11" s="106">
        <v>40787</v>
      </c>
      <c r="F11" s="14"/>
    </row>
    <row r="12" spans="1:5" ht="13.5" customHeight="1">
      <c r="A12" s="91"/>
      <c r="B12" s="308"/>
      <c r="C12" s="308"/>
      <c r="D12" s="155" t="s">
        <v>1600</v>
      </c>
      <c r="E12" s="130">
        <f>E13+E19+E27+E33+E39+E42+E48+E61+E62+E76+E78+E81+E95+E98+E99</f>
        <v>430981.538</v>
      </c>
    </row>
    <row r="13" spans="1:5" ht="12.75" customHeight="1" outlineLevel="1">
      <c r="A13" s="255" t="s">
        <v>1576</v>
      </c>
      <c r="B13" s="256"/>
      <c r="C13" s="256"/>
      <c r="D13" s="257"/>
      <c r="E13" s="105">
        <f>SUM(E14:E18)</f>
        <v>5134.39</v>
      </c>
    </row>
    <row r="14" spans="1:6" ht="15" outlineLevel="2">
      <c r="A14" s="42"/>
      <c r="B14" s="83" t="s">
        <v>2</v>
      </c>
      <c r="C14" s="83" t="s">
        <v>1580</v>
      </c>
      <c r="D14" s="83" t="s">
        <v>2277</v>
      </c>
      <c r="E14" s="106">
        <v>141.59</v>
      </c>
      <c r="F14" s="14"/>
    </row>
    <row r="15" spans="1:6" ht="33.75" customHeight="1" outlineLevel="2">
      <c r="A15" s="42"/>
      <c r="B15" s="83" t="s">
        <v>508</v>
      </c>
      <c r="C15" s="83" t="s">
        <v>1582</v>
      </c>
      <c r="D15" s="83" t="s">
        <v>509</v>
      </c>
      <c r="E15" s="106">
        <v>602.47</v>
      </c>
      <c r="F15" s="14"/>
    </row>
    <row r="16" spans="1:6" ht="15" outlineLevel="2">
      <c r="A16" s="42"/>
      <c r="B16" s="83" t="s">
        <v>1033</v>
      </c>
      <c r="C16" s="83" t="s">
        <v>1583</v>
      </c>
      <c r="D16" s="83" t="s">
        <v>509</v>
      </c>
      <c r="E16" s="106">
        <v>1076.92</v>
      </c>
      <c r="F16" s="14"/>
    </row>
    <row r="17" spans="1:6" ht="15" outlineLevel="2">
      <c r="A17" s="42"/>
      <c r="B17" s="83" t="s">
        <v>2</v>
      </c>
      <c r="C17" s="83" t="s">
        <v>1583</v>
      </c>
      <c r="D17" s="83" t="s">
        <v>855</v>
      </c>
      <c r="E17" s="106">
        <v>80.15</v>
      </c>
      <c r="F17" s="14"/>
    </row>
    <row r="18" spans="1:6" ht="15" outlineLevel="2">
      <c r="A18" s="42"/>
      <c r="B18" s="83" t="s">
        <v>56</v>
      </c>
      <c r="C18" s="83" t="s">
        <v>1584</v>
      </c>
      <c r="D18" s="83" t="s">
        <v>2456</v>
      </c>
      <c r="E18" s="106">
        <v>3233.26</v>
      </c>
      <c r="F18" s="14"/>
    </row>
    <row r="19" spans="1:5" ht="12.75" customHeight="1" outlineLevel="1">
      <c r="A19" s="255" t="s">
        <v>1589</v>
      </c>
      <c r="B19" s="256"/>
      <c r="C19" s="256"/>
      <c r="D19" s="257"/>
      <c r="E19" s="105">
        <f>SUM(E20:E26)</f>
        <v>20220.97</v>
      </c>
    </row>
    <row r="20" spans="1:6" ht="15" outlineLevel="2">
      <c r="A20" s="42"/>
      <c r="B20" s="82" t="s">
        <v>2143</v>
      </c>
      <c r="C20" s="82" t="s">
        <v>1577</v>
      </c>
      <c r="D20" s="82" t="s">
        <v>592</v>
      </c>
      <c r="E20" s="106">
        <v>112.8</v>
      </c>
      <c r="F20" s="14"/>
    </row>
    <row r="21" spans="1:6" ht="18" customHeight="1" outlineLevel="2">
      <c r="A21" s="42"/>
      <c r="B21" s="83" t="s">
        <v>2429</v>
      </c>
      <c r="C21" s="83" t="s">
        <v>1578</v>
      </c>
      <c r="D21" s="83" t="s">
        <v>593</v>
      </c>
      <c r="E21" s="106">
        <v>283.55</v>
      </c>
      <c r="F21" s="14"/>
    </row>
    <row r="22" spans="1:6" ht="15" outlineLevel="2">
      <c r="A22" s="42"/>
      <c r="B22" s="83" t="s">
        <v>1702</v>
      </c>
      <c r="C22" s="83" t="s">
        <v>1580</v>
      </c>
      <c r="D22" s="83" t="s">
        <v>145</v>
      </c>
      <c r="E22" s="106">
        <v>4337.16</v>
      </c>
      <c r="F22" s="14"/>
    </row>
    <row r="23" spans="1:6" ht="18" customHeight="1" outlineLevel="2">
      <c r="A23" s="42"/>
      <c r="B23" s="83" t="s">
        <v>1702</v>
      </c>
      <c r="C23" s="83" t="s">
        <v>1580</v>
      </c>
      <c r="D23" s="83" t="s">
        <v>146</v>
      </c>
      <c r="E23" s="106">
        <v>14354.1</v>
      </c>
      <c r="F23" s="14"/>
    </row>
    <row r="24" spans="1:6" ht="15" outlineLevel="2">
      <c r="A24" s="42"/>
      <c r="B24" s="83" t="s">
        <v>1705</v>
      </c>
      <c r="C24" s="83" t="s">
        <v>1581</v>
      </c>
      <c r="D24" s="83" t="s">
        <v>285</v>
      </c>
      <c r="E24" s="106">
        <v>261.75</v>
      </c>
      <c r="F24" s="14"/>
    </row>
    <row r="25" spans="1:6" ht="15" outlineLevel="2">
      <c r="A25" s="42"/>
      <c r="B25" s="83" t="s">
        <v>1202</v>
      </c>
      <c r="C25" s="83" t="s">
        <v>1582</v>
      </c>
      <c r="D25" s="83" t="s">
        <v>1209</v>
      </c>
      <c r="E25" s="106">
        <v>412.61</v>
      </c>
      <c r="F25" s="14"/>
    </row>
    <row r="26" spans="1:6" ht="13.5" customHeight="1" outlineLevel="2">
      <c r="A26" s="42"/>
      <c r="B26" s="83" t="s">
        <v>589</v>
      </c>
      <c r="C26" s="83" t="s">
        <v>1585</v>
      </c>
      <c r="D26" s="83" t="s">
        <v>2248</v>
      </c>
      <c r="E26" s="106">
        <v>459</v>
      </c>
      <c r="F26" s="14"/>
    </row>
    <row r="27" spans="1:5" ht="12.75" customHeight="1" outlineLevel="1">
      <c r="A27" s="255" t="s">
        <v>1590</v>
      </c>
      <c r="B27" s="256"/>
      <c r="C27" s="256"/>
      <c r="D27" s="257"/>
      <c r="E27" s="105">
        <f>SUM(E28:E32)</f>
        <v>12129.3</v>
      </c>
    </row>
    <row r="28" spans="1:6" ht="15" outlineLevel="2">
      <c r="A28" s="42"/>
      <c r="B28" s="87" t="s">
        <v>2</v>
      </c>
      <c r="C28" s="83" t="s">
        <v>1581</v>
      </c>
      <c r="D28" s="83" t="s">
        <v>939</v>
      </c>
      <c r="E28" s="106">
        <v>165.51</v>
      </c>
      <c r="F28" s="14"/>
    </row>
    <row r="29" spans="1:6" ht="15" outlineLevel="2">
      <c r="A29" s="42"/>
      <c r="B29" s="87" t="s">
        <v>26</v>
      </c>
      <c r="C29" s="83" t="s">
        <v>1583</v>
      </c>
      <c r="D29" s="83" t="s">
        <v>172</v>
      </c>
      <c r="E29" s="106">
        <v>42.03</v>
      </c>
      <c r="F29" s="14"/>
    </row>
    <row r="30" spans="1:6" ht="15" outlineLevel="2">
      <c r="A30" s="42"/>
      <c r="B30" s="87" t="s">
        <v>1728</v>
      </c>
      <c r="C30" s="83" t="s">
        <v>1584</v>
      </c>
      <c r="D30" s="83" t="s">
        <v>760</v>
      </c>
      <c r="E30" s="106">
        <v>5627.7</v>
      </c>
      <c r="F30" s="14"/>
    </row>
    <row r="31" spans="1:6" ht="30" customHeight="1" outlineLevel="2">
      <c r="A31" s="42"/>
      <c r="B31" s="87" t="s">
        <v>2427</v>
      </c>
      <c r="C31" s="83" t="s">
        <v>1586</v>
      </c>
      <c r="D31" s="83" t="s">
        <v>890</v>
      </c>
      <c r="E31" s="106">
        <v>4823.4</v>
      </c>
      <c r="F31" s="14"/>
    </row>
    <row r="32" spans="1:6" ht="30" outlineLevel="2">
      <c r="A32" s="42"/>
      <c r="B32" s="87" t="s">
        <v>192</v>
      </c>
      <c r="C32" s="83" t="s">
        <v>1586</v>
      </c>
      <c r="D32" s="83" t="s">
        <v>783</v>
      </c>
      <c r="E32" s="106">
        <v>1470.66</v>
      </c>
      <c r="F32" s="14"/>
    </row>
    <row r="33" spans="1:5" ht="13.5" customHeight="1" outlineLevel="1">
      <c r="A33" s="255" t="s">
        <v>1591</v>
      </c>
      <c r="B33" s="256"/>
      <c r="C33" s="256"/>
      <c r="D33" s="257"/>
      <c r="E33" s="105">
        <f>SUM(E34:E38)</f>
        <v>4114.17</v>
      </c>
    </row>
    <row r="34" spans="1:6" ht="15" outlineLevel="2">
      <c r="A34" s="42"/>
      <c r="B34" s="88" t="s">
        <v>812</v>
      </c>
      <c r="C34" s="82" t="s">
        <v>1577</v>
      </c>
      <c r="D34" s="82" t="s">
        <v>1985</v>
      </c>
      <c r="E34" s="106">
        <v>292.41</v>
      </c>
      <c r="F34" s="14"/>
    </row>
    <row r="35" spans="1:6" ht="15" outlineLevel="2">
      <c r="A35" s="42"/>
      <c r="B35" s="87" t="s">
        <v>1267</v>
      </c>
      <c r="C35" s="83" t="s">
        <v>1577</v>
      </c>
      <c r="D35" s="83" t="s">
        <v>862</v>
      </c>
      <c r="E35" s="106">
        <v>1646.24</v>
      </c>
      <c r="F35" s="14"/>
    </row>
    <row r="36" spans="1:6" ht="15" outlineLevel="2">
      <c r="A36" s="42"/>
      <c r="B36" s="87" t="s">
        <v>100</v>
      </c>
      <c r="C36" s="83" t="s">
        <v>1581</v>
      </c>
      <c r="D36" s="83" t="s">
        <v>617</v>
      </c>
      <c r="E36" s="106">
        <v>618.22</v>
      </c>
      <c r="F36" s="14"/>
    </row>
    <row r="37" spans="1:6" ht="15" outlineLevel="2">
      <c r="A37" s="42"/>
      <c r="B37" s="87" t="s">
        <v>1683</v>
      </c>
      <c r="C37" s="83" t="s">
        <v>1582</v>
      </c>
      <c r="D37" s="83" t="s">
        <v>606</v>
      </c>
      <c r="E37" s="106">
        <v>772.47</v>
      </c>
      <c r="F37" s="14"/>
    </row>
    <row r="38" spans="1:6" ht="15" outlineLevel="2">
      <c r="A38" s="42"/>
      <c r="B38" s="87" t="s">
        <v>52</v>
      </c>
      <c r="C38" s="83" t="s">
        <v>1583</v>
      </c>
      <c r="D38" s="83" t="s">
        <v>1154</v>
      </c>
      <c r="E38" s="106">
        <v>784.83</v>
      </c>
      <c r="F38" s="14"/>
    </row>
    <row r="39" spans="1:5" ht="15" customHeight="1" outlineLevel="1">
      <c r="A39" s="255" t="s">
        <v>1594</v>
      </c>
      <c r="B39" s="256"/>
      <c r="C39" s="256"/>
      <c r="D39" s="257"/>
      <c r="E39" s="105">
        <f>SUM(E40:E41)</f>
        <v>26015.120000000003</v>
      </c>
    </row>
    <row r="40" spans="1:6" ht="15" outlineLevel="2">
      <c r="A40" s="42"/>
      <c r="B40" s="87" t="s">
        <v>2023</v>
      </c>
      <c r="C40" s="83" t="s">
        <v>1578</v>
      </c>
      <c r="D40" s="83" t="s">
        <v>1502</v>
      </c>
      <c r="E40" s="106">
        <v>19157.72</v>
      </c>
      <c r="F40" s="14"/>
    </row>
    <row r="41" spans="1:6" ht="15" outlineLevel="2">
      <c r="A41" s="42"/>
      <c r="B41" s="87" t="s">
        <v>1039</v>
      </c>
      <c r="C41" s="83" t="s">
        <v>1582</v>
      </c>
      <c r="D41" s="83" t="s">
        <v>1040</v>
      </c>
      <c r="E41" s="106">
        <v>6857.4</v>
      </c>
      <c r="F41" s="14"/>
    </row>
    <row r="42" spans="1:5" ht="15" customHeight="1" outlineLevel="1">
      <c r="A42" s="255" t="s">
        <v>1599</v>
      </c>
      <c r="B42" s="256"/>
      <c r="C42" s="256"/>
      <c r="D42" s="257"/>
      <c r="E42" s="105">
        <f>SUM(E43:E47)</f>
        <v>20923.94</v>
      </c>
    </row>
    <row r="43" spans="1:6" ht="15" outlineLevel="2">
      <c r="A43" s="42"/>
      <c r="B43" s="83" t="s">
        <v>2108</v>
      </c>
      <c r="C43" s="83" t="s">
        <v>1581</v>
      </c>
      <c r="D43" s="83" t="s">
        <v>2111</v>
      </c>
      <c r="E43" s="106">
        <v>121.34</v>
      </c>
      <c r="F43" s="14"/>
    </row>
    <row r="44" spans="1:6" ht="15" outlineLevel="2">
      <c r="A44" s="42"/>
      <c r="B44" s="83" t="s">
        <v>1649</v>
      </c>
      <c r="C44" s="83" t="s">
        <v>1585</v>
      </c>
      <c r="D44" s="83" t="s">
        <v>1650</v>
      </c>
      <c r="E44" s="106">
        <v>1099.12</v>
      </c>
      <c r="F44" s="14"/>
    </row>
    <row r="45" spans="1:6" ht="15" outlineLevel="2">
      <c r="A45" s="42"/>
      <c r="B45" s="83" t="s">
        <v>1332</v>
      </c>
      <c r="C45" s="83" t="s">
        <v>1586</v>
      </c>
      <c r="D45" s="83" t="s">
        <v>1331</v>
      </c>
      <c r="E45" s="106">
        <v>1597.4</v>
      </c>
      <c r="F45" s="14"/>
    </row>
    <row r="46" spans="1:6" ht="15" outlineLevel="2">
      <c r="A46" s="42"/>
      <c r="B46" s="83" t="s">
        <v>742</v>
      </c>
      <c r="C46" s="83" t="s">
        <v>1587</v>
      </c>
      <c r="D46" s="83" t="s">
        <v>743</v>
      </c>
      <c r="E46" s="106">
        <v>13848.53</v>
      </c>
      <c r="F46" s="14"/>
    </row>
    <row r="47" spans="1:6" ht="15" outlineLevel="2">
      <c r="A47" s="42"/>
      <c r="B47" s="83" t="s">
        <v>1129</v>
      </c>
      <c r="C47" s="83" t="s">
        <v>1587</v>
      </c>
      <c r="D47" s="83" t="s">
        <v>1130</v>
      </c>
      <c r="E47" s="106">
        <v>4257.55</v>
      </c>
      <c r="F47" s="14"/>
    </row>
    <row r="48" spans="1:5" ht="14.25" customHeight="1" outlineLevel="1">
      <c r="A48" s="255" t="s">
        <v>1713</v>
      </c>
      <c r="B48" s="256"/>
      <c r="C48" s="256"/>
      <c r="D48" s="257"/>
      <c r="E48" s="105">
        <f>SUM(E49:E60)</f>
        <v>191053.52</v>
      </c>
    </row>
    <row r="49" spans="1:6" ht="15" outlineLevel="2">
      <c r="A49" s="42"/>
      <c r="B49" s="82"/>
      <c r="C49" s="82" t="s">
        <v>1577</v>
      </c>
      <c r="D49" s="82" t="s">
        <v>1496</v>
      </c>
      <c r="E49" s="106">
        <v>16209.31</v>
      </c>
      <c r="F49" s="14"/>
    </row>
    <row r="50" spans="1:6" ht="15" outlineLevel="2">
      <c r="A50" s="42"/>
      <c r="B50" s="83"/>
      <c r="C50" s="83" t="s">
        <v>1578</v>
      </c>
      <c r="D50" s="83" t="s">
        <v>1496</v>
      </c>
      <c r="E50" s="106">
        <v>16201.31</v>
      </c>
      <c r="F50" s="14"/>
    </row>
    <row r="51" spans="1:6" ht="15" outlineLevel="2">
      <c r="A51" s="42"/>
      <c r="B51" s="83"/>
      <c r="C51" s="83" t="s">
        <v>1579</v>
      </c>
      <c r="D51" s="83" t="s">
        <v>1496</v>
      </c>
      <c r="E51" s="106">
        <v>16201.31</v>
      </c>
      <c r="F51" s="14"/>
    </row>
    <row r="52" spans="1:6" ht="15" outlineLevel="2">
      <c r="A52" s="42"/>
      <c r="B52" s="83"/>
      <c r="C52" s="83" t="s">
        <v>1580</v>
      </c>
      <c r="D52" s="83" t="s">
        <v>1496</v>
      </c>
      <c r="E52" s="106">
        <v>16201.31</v>
      </c>
      <c r="F52" s="14"/>
    </row>
    <row r="53" spans="1:6" ht="15" outlineLevel="2">
      <c r="A53" s="42"/>
      <c r="B53" s="83"/>
      <c r="C53" s="83" t="s">
        <v>1581</v>
      </c>
      <c r="D53" s="83" t="s">
        <v>1496</v>
      </c>
      <c r="E53" s="106">
        <v>15522.47</v>
      </c>
      <c r="F53" s="14"/>
    </row>
    <row r="54" spans="1:6" ht="15" outlineLevel="2">
      <c r="A54" s="42"/>
      <c r="B54" s="83"/>
      <c r="C54" s="83" t="s">
        <v>1582</v>
      </c>
      <c r="D54" s="83" t="s">
        <v>1496</v>
      </c>
      <c r="E54" s="106">
        <v>15522.47</v>
      </c>
      <c r="F54" s="14"/>
    </row>
    <row r="55" spans="1:6" ht="15" outlineLevel="2">
      <c r="A55" s="42"/>
      <c r="B55" s="83"/>
      <c r="C55" s="83" t="s">
        <v>1583</v>
      </c>
      <c r="D55" s="83" t="s">
        <v>1496</v>
      </c>
      <c r="E55" s="106">
        <v>15522.47</v>
      </c>
      <c r="F55" s="14"/>
    </row>
    <row r="56" spans="1:6" ht="15" outlineLevel="2">
      <c r="A56" s="42"/>
      <c r="B56" s="83"/>
      <c r="C56" s="83" t="s">
        <v>1584</v>
      </c>
      <c r="D56" s="83" t="s">
        <v>1496</v>
      </c>
      <c r="E56" s="106">
        <v>15522.47</v>
      </c>
      <c r="F56" s="14"/>
    </row>
    <row r="57" spans="1:6" ht="15" outlineLevel="2">
      <c r="A57" s="42"/>
      <c r="B57" s="83"/>
      <c r="C57" s="83" t="s">
        <v>1585</v>
      </c>
      <c r="D57" s="83" t="s">
        <v>1496</v>
      </c>
      <c r="E57" s="106">
        <v>15522.47</v>
      </c>
      <c r="F57" s="14"/>
    </row>
    <row r="58" spans="1:6" ht="15" outlineLevel="2">
      <c r="A58" s="42"/>
      <c r="B58" s="83"/>
      <c r="C58" s="83" t="s">
        <v>1586</v>
      </c>
      <c r="D58" s="83" t="s">
        <v>1496</v>
      </c>
      <c r="E58" s="106">
        <v>16209.31</v>
      </c>
      <c r="F58" s="14"/>
    </row>
    <row r="59" spans="1:6" ht="15" outlineLevel="2">
      <c r="A59" s="42"/>
      <c r="B59" s="83"/>
      <c r="C59" s="83" t="s">
        <v>1587</v>
      </c>
      <c r="D59" s="83" t="s">
        <v>1496</v>
      </c>
      <c r="E59" s="106">
        <v>16209.31</v>
      </c>
      <c r="F59" s="14"/>
    </row>
    <row r="60" spans="1:6" ht="15" outlineLevel="2">
      <c r="A60" s="42"/>
      <c r="B60" s="89"/>
      <c r="C60" s="83" t="s">
        <v>1588</v>
      </c>
      <c r="D60" s="83" t="s">
        <v>1496</v>
      </c>
      <c r="E60" s="106">
        <v>16209.31</v>
      </c>
      <c r="F60" s="14"/>
    </row>
    <row r="61" spans="1:5" ht="14.25" customHeight="1" outlineLevel="1">
      <c r="A61" s="255" t="s">
        <v>1714</v>
      </c>
      <c r="B61" s="256"/>
      <c r="C61" s="256"/>
      <c r="D61" s="257"/>
      <c r="E61" s="105">
        <f>1.46*4578.9*12</f>
        <v>80222.328</v>
      </c>
    </row>
    <row r="62" spans="1:5" ht="15" customHeight="1" outlineLevel="1">
      <c r="A62" s="255" t="s">
        <v>1715</v>
      </c>
      <c r="B62" s="256"/>
      <c r="C62" s="256"/>
      <c r="D62" s="257"/>
      <c r="E62" s="105">
        <f>SUM(E63:E75)</f>
        <v>16229.03</v>
      </c>
    </row>
    <row r="63" spans="1:6" ht="15" outlineLevel="2">
      <c r="A63" s="42"/>
      <c r="B63" s="82" t="s">
        <v>2072</v>
      </c>
      <c r="C63" s="82" t="s">
        <v>1577</v>
      </c>
      <c r="D63" s="82" t="s">
        <v>2073</v>
      </c>
      <c r="E63" s="106">
        <v>75.5</v>
      </c>
      <c r="F63" s="14"/>
    </row>
    <row r="64" spans="1:6" ht="15" outlineLevel="2">
      <c r="A64" s="42"/>
      <c r="B64" s="83" t="s">
        <v>1480</v>
      </c>
      <c r="C64" s="83" t="s">
        <v>1578</v>
      </c>
      <c r="D64" s="83" t="s">
        <v>1500</v>
      </c>
      <c r="E64" s="106">
        <v>72</v>
      </c>
      <c r="F64" s="14"/>
    </row>
    <row r="65" spans="1:6" ht="15" outlineLevel="2">
      <c r="A65" s="42"/>
      <c r="B65" s="83" t="s">
        <v>2</v>
      </c>
      <c r="C65" s="83" t="s">
        <v>1578</v>
      </c>
      <c r="D65" s="83" t="s">
        <v>866</v>
      </c>
      <c r="E65" s="106">
        <v>71.94</v>
      </c>
      <c r="F65" s="14"/>
    </row>
    <row r="66" spans="1:6" ht="15" outlineLevel="2">
      <c r="A66" s="42"/>
      <c r="B66" s="83" t="s">
        <v>2177</v>
      </c>
      <c r="C66" s="83" t="s">
        <v>1579</v>
      </c>
      <c r="D66" s="83" t="s">
        <v>1364</v>
      </c>
      <c r="E66" s="106">
        <v>3059</v>
      </c>
      <c r="F66" s="14"/>
    </row>
    <row r="67" spans="1:6" ht="15" outlineLevel="2">
      <c r="A67" s="42"/>
      <c r="B67" s="83" t="s">
        <v>139</v>
      </c>
      <c r="C67" s="83" t="s">
        <v>1580</v>
      </c>
      <c r="D67" s="83" t="s">
        <v>2233</v>
      </c>
      <c r="E67" s="106">
        <v>578.08</v>
      </c>
      <c r="F67" s="14"/>
    </row>
    <row r="68" spans="1:6" ht="15" outlineLevel="2">
      <c r="A68" s="42"/>
      <c r="B68" s="83" t="s">
        <v>270</v>
      </c>
      <c r="C68" s="83" t="s">
        <v>1582</v>
      </c>
      <c r="D68" s="83" t="s">
        <v>1058</v>
      </c>
      <c r="E68" s="106">
        <v>4643.2</v>
      </c>
      <c r="F68" s="14"/>
    </row>
    <row r="69" spans="1:6" ht="30" outlineLevel="2">
      <c r="A69" s="42"/>
      <c r="B69" s="83" t="s">
        <v>851</v>
      </c>
      <c r="C69" s="83" t="s">
        <v>1582</v>
      </c>
      <c r="D69" s="83" t="s">
        <v>762</v>
      </c>
      <c r="E69" s="106">
        <v>806.34</v>
      </c>
      <c r="F69" s="14"/>
    </row>
    <row r="70" spans="1:6" ht="15" outlineLevel="2">
      <c r="A70" s="42"/>
      <c r="B70" s="83" t="s">
        <v>53</v>
      </c>
      <c r="C70" s="83" t="s">
        <v>1583</v>
      </c>
      <c r="D70" s="83" t="s">
        <v>110</v>
      </c>
      <c r="E70" s="106">
        <v>5156.56</v>
      </c>
      <c r="F70" s="14"/>
    </row>
    <row r="71" spans="1:6" ht="15" outlineLevel="2">
      <c r="A71" s="42"/>
      <c r="B71" s="83" t="s">
        <v>575</v>
      </c>
      <c r="C71" s="83" t="s">
        <v>1586</v>
      </c>
      <c r="D71" s="83" t="s">
        <v>1005</v>
      </c>
      <c r="E71" s="106">
        <v>761</v>
      </c>
      <c r="F71" s="14"/>
    </row>
    <row r="72" spans="1:6" ht="15" outlineLevel="2">
      <c r="A72" s="42"/>
      <c r="B72" s="83" t="s">
        <v>1071</v>
      </c>
      <c r="C72" s="83" t="s">
        <v>1588</v>
      </c>
      <c r="D72" s="83" t="s">
        <v>1070</v>
      </c>
      <c r="E72" s="106">
        <v>270</v>
      </c>
      <c r="F72" s="14"/>
    </row>
    <row r="73" spans="1:6" ht="15" outlineLevel="2">
      <c r="A73" s="42"/>
      <c r="B73" s="83" t="s">
        <v>206</v>
      </c>
      <c r="C73" s="83" t="s">
        <v>1587</v>
      </c>
      <c r="D73" s="83" t="s">
        <v>795</v>
      </c>
      <c r="E73" s="106">
        <v>139.2</v>
      </c>
      <c r="F73" s="14"/>
    </row>
    <row r="74" spans="1:6" ht="15" outlineLevel="2">
      <c r="A74" s="42"/>
      <c r="B74" s="83" t="s">
        <v>2003</v>
      </c>
      <c r="C74" s="83" t="s">
        <v>1588</v>
      </c>
      <c r="D74" s="83" t="s">
        <v>2073</v>
      </c>
      <c r="E74" s="106">
        <v>228.1</v>
      </c>
      <c r="F74" s="14"/>
    </row>
    <row r="75" spans="1:6" ht="15" outlineLevel="2">
      <c r="A75" s="42"/>
      <c r="B75" s="83" t="s">
        <v>1958</v>
      </c>
      <c r="C75" s="83" t="s">
        <v>1588</v>
      </c>
      <c r="D75" s="83" t="s">
        <v>1960</v>
      </c>
      <c r="E75" s="106">
        <v>368.11</v>
      </c>
      <c r="F75" s="14"/>
    </row>
    <row r="76" spans="1:5" ht="14.25" customHeight="1" outlineLevel="1">
      <c r="A76" s="255" t="s">
        <v>1716</v>
      </c>
      <c r="B76" s="256"/>
      <c r="C76" s="256"/>
      <c r="D76" s="257"/>
      <c r="E76" s="105">
        <f>SUM(E77:E77)</f>
        <v>45.75</v>
      </c>
    </row>
    <row r="77" spans="1:6" ht="15" outlineLevel="2">
      <c r="A77" s="42"/>
      <c r="B77" s="82" t="s">
        <v>2</v>
      </c>
      <c r="C77" s="82" t="s">
        <v>1577</v>
      </c>
      <c r="D77" s="82" t="s">
        <v>2276</v>
      </c>
      <c r="E77" s="106">
        <v>45.75</v>
      </c>
      <c r="F77" s="14"/>
    </row>
    <row r="78" spans="1:5" ht="15" customHeight="1" outlineLevel="1">
      <c r="A78" s="255" t="s">
        <v>1717</v>
      </c>
      <c r="B78" s="256"/>
      <c r="C78" s="256"/>
      <c r="D78" s="257"/>
      <c r="E78" s="105">
        <f>SUM(E79:E80)</f>
        <v>626.22</v>
      </c>
    </row>
    <row r="79" spans="1:6" ht="15" outlineLevel="2">
      <c r="A79" s="42"/>
      <c r="B79" s="82" t="s">
        <v>1267</v>
      </c>
      <c r="C79" s="82" t="s">
        <v>1577</v>
      </c>
      <c r="D79" s="82" t="s">
        <v>1495</v>
      </c>
      <c r="E79" s="106">
        <v>318.24</v>
      </c>
      <c r="F79" s="14"/>
    </row>
    <row r="80" spans="1:6" ht="15" outlineLevel="2">
      <c r="A80" s="42"/>
      <c r="B80" s="83" t="s">
        <v>2</v>
      </c>
      <c r="C80" s="83" t="s">
        <v>1581</v>
      </c>
      <c r="D80" s="83" t="s">
        <v>943</v>
      </c>
      <c r="E80" s="106">
        <v>307.98</v>
      </c>
      <c r="F80" s="14"/>
    </row>
    <row r="81" spans="1:5" ht="13.5" customHeight="1" outlineLevel="1">
      <c r="A81" s="255" t="s">
        <v>1595</v>
      </c>
      <c r="B81" s="256"/>
      <c r="C81" s="256"/>
      <c r="D81" s="257"/>
      <c r="E81" s="105">
        <f>SUM(E82:E94)</f>
        <v>40947.71</v>
      </c>
    </row>
    <row r="82" spans="1:6" ht="32.25" customHeight="1" outlineLevel="2">
      <c r="A82" s="42"/>
      <c r="B82" s="82" t="s">
        <v>5</v>
      </c>
      <c r="C82" s="82" t="s">
        <v>1577</v>
      </c>
      <c r="D82" s="82" t="s">
        <v>369</v>
      </c>
      <c r="E82" s="106">
        <v>1091.7</v>
      </c>
      <c r="F82" s="14"/>
    </row>
    <row r="83" spans="1:6" ht="15" outlineLevel="2">
      <c r="A83" s="42"/>
      <c r="B83" s="83" t="s">
        <v>1061</v>
      </c>
      <c r="C83" s="83" t="s">
        <v>1578</v>
      </c>
      <c r="D83" s="83" t="s">
        <v>2024</v>
      </c>
      <c r="E83" s="106">
        <v>277.81</v>
      </c>
      <c r="F83" s="14"/>
    </row>
    <row r="84" spans="1:6" ht="15" outlineLevel="2">
      <c r="A84" s="42"/>
      <c r="B84" s="83" t="s">
        <v>1992</v>
      </c>
      <c r="C84" s="83" t="s">
        <v>1579</v>
      </c>
      <c r="D84" s="83" t="s">
        <v>1606</v>
      </c>
      <c r="E84" s="106">
        <v>1320.86</v>
      </c>
      <c r="F84" s="14"/>
    </row>
    <row r="85" spans="1:6" ht="15" outlineLevel="2">
      <c r="A85" s="42"/>
      <c r="B85" s="83" t="s">
        <v>2135</v>
      </c>
      <c r="C85" s="83" t="s">
        <v>1579</v>
      </c>
      <c r="D85" s="83" t="s">
        <v>2136</v>
      </c>
      <c r="E85" s="106">
        <v>395.8</v>
      </c>
      <c r="F85" s="14"/>
    </row>
    <row r="86" spans="1:6" ht="15" outlineLevel="2">
      <c r="A86" s="42"/>
      <c r="B86" s="83" t="s">
        <v>1244</v>
      </c>
      <c r="C86" s="83" t="s">
        <v>1580</v>
      </c>
      <c r="D86" s="83" t="s">
        <v>673</v>
      </c>
      <c r="E86" s="106">
        <v>410.49</v>
      </c>
      <c r="F86" s="14"/>
    </row>
    <row r="87" spans="1:6" ht="15" outlineLevel="2">
      <c r="A87" s="42"/>
      <c r="B87" s="83" t="s">
        <v>1253</v>
      </c>
      <c r="C87" s="83" t="s">
        <v>1582</v>
      </c>
      <c r="D87" s="83" t="s">
        <v>1441</v>
      </c>
      <c r="E87" s="106">
        <v>419.26</v>
      </c>
      <c r="F87" s="14"/>
    </row>
    <row r="88" spans="1:6" ht="15" outlineLevel="2">
      <c r="A88" s="42"/>
      <c r="B88" s="83" t="s">
        <v>1255</v>
      </c>
      <c r="C88" s="83" t="s">
        <v>1582</v>
      </c>
      <c r="D88" s="83" t="s">
        <v>822</v>
      </c>
      <c r="E88" s="106">
        <v>4545.03</v>
      </c>
      <c r="F88" s="14"/>
    </row>
    <row r="89" spans="1:6" ht="15" outlineLevel="2">
      <c r="A89" s="42"/>
      <c r="B89" s="83" t="s">
        <v>43</v>
      </c>
      <c r="C89" s="83" t="s">
        <v>1583</v>
      </c>
      <c r="D89" s="83" t="s">
        <v>1879</v>
      </c>
      <c r="E89" s="106">
        <v>374.04</v>
      </c>
      <c r="F89" s="14"/>
    </row>
    <row r="90" spans="1:6" ht="15" outlineLevel="2">
      <c r="A90" s="42"/>
      <c r="B90" s="83" t="s">
        <v>2478</v>
      </c>
      <c r="C90" s="83" t="s">
        <v>1585</v>
      </c>
      <c r="D90" s="83" t="s">
        <v>2479</v>
      </c>
      <c r="E90" s="106">
        <v>7339</v>
      </c>
      <c r="F90" s="14"/>
    </row>
    <row r="91" spans="1:6" ht="15" outlineLevel="2">
      <c r="A91" s="42"/>
      <c r="B91" s="83" t="s">
        <v>2482</v>
      </c>
      <c r="C91" s="83" t="s">
        <v>1585</v>
      </c>
      <c r="D91" s="83" t="s">
        <v>2483</v>
      </c>
      <c r="E91" s="106">
        <v>14913</v>
      </c>
      <c r="F91" s="14"/>
    </row>
    <row r="92" spans="1:6" ht="15" outlineLevel="2">
      <c r="A92" s="42"/>
      <c r="B92" s="83" t="s">
        <v>2369</v>
      </c>
      <c r="C92" s="83" t="s">
        <v>1586</v>
      </c>
      <c r="D92" s="83" t="s">
        <v>2370</v>
      </c>
      <c r="E92" s="106">
        <v>6334.84</v>
      </c>
      <c r="F92" s="14"/>
    </row>
    <row r="93" spans="1:6" ht="15" outlineLevel="2">
      <c r="A93" s="42"/>
      <c r="B93" s="83" t="s">
        <v>1282</v>
      </c>
      <c r="C93" s="83" t="s">
        <v>1587</v>
      </c>
      <c r="D93" s="83" t="s">
        <v>1285</v>
      </c>
      <c r="E93" s="106">
        <v>120.88</v>
      </c>
      <c r="F93" s="14"/>
    </row>
    <row r="94" spans="1:6" ht="12.75" customHeight="1" outlineLevel="2">
      <c r="A94" s="42"/>
      <c r="B94" s="83" t="s">
        <v>1067</v>
      </c>
      <c r="C94" s="83" t="s">
        <v>1588</v>
      </c>
      <c r="D94" s="83" t="s">
        <v>2292</v>
      </c>
      <c r="E94" s="106">
        <v>3405</v>
      </c>
      <c r="F94" s="14"/>
    </row>
    <row r="95" spans="1:5" ht="15" customHeight="1" outlineLevel="1">
      <c r="A95" s="255" t="s">
        <v>1718</v>
      </c>
      <c r="B95" s="256"/>
      <c r="C95" s="256"/>
      <c r="D95" s="257"/>
      <c r="E95" s="105">
        <f>SUM(E96:E97)</f>
        <v>4657.75</v>
      </c>
    </row>
    <row r="96" spans="1:6" ht="15" outlineLevel="2">
      <c r="A96" s="42"/>
      <c r="B96" s="82" t="s">
        <v>2</v>
      </c>
      <c r="C96" s="82" t="s">
        <v>1577</v>
      </c>
      <c r="D96" s="82" t="s">
        <v>1895</v>
      </c>
      <c r="E96" s="106">
        <v>2357.77</v>
      </c>
      <c r="F96" s="14"/>
    </row>
    <row r="97" spans="1:6" ht="15" outlineLevel="2">
      <c r="A97" s="42"/>
      <c r="B97" s="84" t="s">
        <v>2</v>
      </c>
      <c r="C97" s="84" t="s">
        <v>1581</v>
      </c>
      <c r="D97" s="84" t="s">
        <v>2390</v>
      </c>
      <c r="E97" s="106">
        <v>2299.98</v>
      </c>
      <c r="F97" s="14"/>
    </row>
    <row r="98" spans="1:6" ht="12.75" customHeight="1" outlineLevel="2">
      <c r="A98" s="255" t="s">
        <v>0</v>
      </c>
      <c r="B98" s="256"/>
      <c r="C98" s="256"/>
      <c r="D98" s="257"/>
      <c r="E98" s="105">
        <f>0.1*4578.9*12</f>
        <v>5494.68</v>
      </c>
      <c r="F98" s="14"/>
    </row>
    <row r="99" spans="1:6" ht="15" customHeight="1" outlineLevel="2">
      <c r="A99" s="255" t="s">
        <v>1369</v>
      </c>
      <c r="B99" s="256"/>
      <c r="C99" s="256"/>
      <c r="D99" s="257"/>
      <c r="E99" s="105">
        <v>3166.66</v>
      </c>
      <c r="F99" s="14"/>
    </row>
    <row r="100" spans="1:6" ht="15">
      <c r="A100" s="42"/>
      <c r="B100" s="273" t="s">
        <v>255</v>
      </c>
      <c r="C100" s="273"/>
      <c r="D100" s="273"/>
      <c r="E100" s="43">
        <f>0.94*4578.9*12</f>
        <v>51649.99199999999</v>
      </c>
      <c r="F100" s="26"/>
    </row>
    <row r="101" spans="1:6" ht="15">
      <c r="A101" s="42"/>
      <c r="B101" s="270" t="s">
        <v>59</v>
      </c>
      <c r="C101" s="270"/>
      <c r="D101" s="270"/>
      <c r="E101" s="43">
        <f>1.57*4578.9*12</f>
        <v>86266.476</v>
      </c>
      <c r="F101" s="14"/>
    </row>
    <row r="102" spans="1:6" ht="15">
      <c r="A102" s="42"/>
      <c r="B102" s="270" t="s">
        <v>256</v>
      </c>
      <c r="C102" s="270"/>
      <c r="D102" s="270"/>
      <c r="E102" s="43">
        <f>10.3*(E104+E105)/100</f>
        <v>121413.62621000002</v>
      </c>
      <c r="F102" s="14"/>
    </row>
    <row r="103" spans="1:5" ht="15">
      <c r="A103" s="42"/>
      <c r="B103" s="272" t="s">
        <v>659</v>
      </c>
      <c r="C103" s="272"/>
      <c r="D103" s="272"/>
      <c r="E103" s="44">
        <f>E102+E101+E100+E12+E3</f>
        <v>833390.50221</v>
      </c>
    </row>
    <row r="104" spans="1:6" ht="15">
      <c r="A104" s="42"/>
      <c r="B104" s="270" t="s">
        <v>258</v>
      </c>
      <c r="C104" s="270"/>
      <c r="D104" s="270"/>
      <c r="E104" s="43">
        <v>1035891.84</v>
      </c>
      <c r="F104" s="14"/>
    </row>
    <row r="105" spans="1:5" ht="15">
      <c r="A105" s="42"/>
      <c r="B105" s="270" t="s">
        <v>259</v>
      </c>
      <c r="C105" s="270"/>
      <c r="D105" s="270"/>
      <c r="E105" s="43">
        <v>142881.23</v>
      </c>
    </row>
    <row r="106" spans="1:5" ht="15">
      <c r="A106" s="42"/>
      <c r="B106" s="270" t="s">
        <v>660</v>
      </c>
      <c r="C106" s="270"/>
      <c r="D106" s="270"/>
      <c r="E106" s="43">
        <v>3230373.24</v>
      </c>
    </row>
    <row r="107" spans="1:5" ht="15">
      <c r="A107" s="42"/>
      <c r="B107" s="270" t="s">
        <v>2340</v>
      </c>
      <c r="C107" s="270"/>
      <c r="D107" s="270"/>
      <c r="E107" s="43">
        <v>2741635.45</v>
      </c>
    </row>
    <row r="108" spans="1:5" ht="15">
      <c r="A108" s="42"/>
      <c r="B108" s="272" t="s">
        <v>2341</v>
      </c>
      <c r="C108" s="272"/>
      <c r="D108" s="272"/>
      <c r="E108" s="44">
        <f>'[5]Мира 34'!$E$113+E103</f>
        <v>2647511.69221</v>
      </c>
    </row>
    <row r="109" spans="1:5" ht="15">
      <c r="A109" s="42"/>
      <c r="B109" s="270" t="s">
        <v>732</v>
      </c>
      <c r="C109" s="270"/>
      <c r="D109" s="270"/>
      <c r="E109" s="43">
        <v>447178</v>
      </c>
    </row>
    <row r="110" spans="1:5" ht="15">
      <c r="A110" s="42"/>
      <c r="B110" s="270" t="s">
        <v>733</v>
      </c>
      <c r="C110" s="270"/>
      <c r="D110" s="270"/>
      <c r="E110" s="43">
        <v>379489</v>
      </c>
    </row>
    <row r="111" spans="1:5" ht="15">
      <c r="A111" s="42"/>
      <c r="B111" s="272" t="s">
        <v>734</v>
      </c>
      <c r="C111" s="272"/>
      <c r="D111" s="272"/>
      <c r="E111" s="44">
        <f>E114+'[5]Мира 34'!$E$116</f>
        <v>0</v>
      </c>
    </row>
    <row r="112" spans="1:5" ht="15">
      <c r="A112" s="42"/>
      <c r="B112" s="270" t="s">
        <v>260</v>
      </c>
      <c r="C112" s="270"/>
      <c r="D112" s="270"/>
      <c r="E112" s="43">
        <v>924696.77</v>
      </c>
    </row>
    <row r="113" spans="1:5" ht="15">
      <c r="A113" s="42"/>
      <c r="B113" s="270" t="s">
        <v>735</v>
      </c>
      <c r="C113" s="270"/>
      <c r="D113" s="270"/>
      <c r="E113" s="43">
        <v>127544.02</v>
      </c>
    </row>
    <row r="114" spans="1:5" ht="15">
      <c r="A114" s="42"/>
      <c r="B114" s="272" t="s">
        <v>736</v>
      </c>
      <c r="C114" s="272"/>
      <c r="D114" s="272"/>
      <c r="E114" s="44">
        <v>0</v>
      </c>
    </row>
    <row r="115" spans="1:5" ht="27" customHeight="1">
      <c r="A115" s="42"/>
      <c r="B115" s="271" t="s">
        <v>737</v>
      </c>
      <c r="C115" s="271"/>
      <c r="D115" s="271"/>
      <c r="E115" s="45">
        <f>E106-E108</f>
        <v>582861.5477900002</v>
      </c>
    </row>
    <row r="116" spans="1:5" ht="28.5" customHeight="1">
      <c r="A116" s="42"/>
      <c r="B116" s="271" t="s">
        <v>738</v>
      </c>
      <c r="C116" s="271"/>
      <c r="D116" s="271"/>
      <c r="E116" s="45">
        <f>E109-E111</f>
        <v>447178</v>
      </c>
    </row>
    <row r="117" spans="1:5" ht="28.5" customHeight="1">
      <c r="A117" s="42"/>
      <c r="B117" s="271" t="s">
        <v>739</v>
      </c>
      <c r="C117" s="271"/>
      <c r="D117" s="271"/>
      <c r="E117" s="45">
        <f>E107-E108</f>
        <v>94123.75779000018</v>
      </c>
    </row>
    <row r="118" ht="12.75">
      <c r="E118" s="39"/>
    </row>
    <row r="119" spans="1:5" ht="102">
      <c r="A119" s="12" t="s">
        <v>492</v>
      </c>
      <c r="E119" s="39"/>
    </row>
    <row r="120" spans="1:5" ht="89.25">
      <c r="A120" s="12" t="s">
        <v>493</v>
      </c>
      <c r="E120" s="39"/>
    </row>
    <row r="121" spans="1:5" ht="216.75">
      <c r="A121" s="12" t="s">
        <v>494</v>
      </c>
      <c r="E121" s="39"/>
    </row>
    <row r="122" spans="1:5" ht="89.25">
      <c r="A122" s="12" t="s">
        <v>495</v>
      </c>
      <c r="E122" s="39"/>
    </row>
  </sheetData>
  <sheetProtection/>
  <mergeCells count="39">
    <mergeCell ref="B12:C12"/>
    <mergeCell ref="A19:D19"/>
    <mergeCell ref="A27:D27"/>
    <mergeCell ref="A33:D33"/>
    <mergeCell ref="A39:D39"/>
    <mergeCell ref="A1:E1"/>
    <mergeCell ref="A4:D4"/>
    <mergeCell ref="A7:D7"/>
    <mergeCell ref="A9:D9"/>
    <mergeCell ref="B3:C3"/>
    <mergeCell ref="A13:D13"/>
    <mergeCell ref="A42:D42"/>
    <mergeCell ref="A48:D48"/>
    <mergeCell ref="B106:D106"/>
    <mergeCell ref="A81:D81"/>
    <mergeCell ref="B100:D100"/>
    <mergeCell ref="A62:D62"/>
    <mergeCell ref="A76:D76"/>
    <mergeCell ref="A78:D78"/>
    <mergeCell ref="A61:D61"/>
    <mergeCell ref="B108:D108"/>
    <mergeCell ref="B107:D107"/>
    <mergeCell ref="A95:D95"/>
    <mergeCell ref="B104:D104"/>
    <mergeCell ref="B103:D103"/>
    <mergeCell ref="B102:D102"/>
    <mergeCell ref="A98:D98"/>
    <mergeCell ref="B101:D101"/>
    <mergeCell ref="B105:D105"/>
    <mergeCell ref="A99:D99"/>
    <mergeCell ref="B117:D117"/>
    <mergeCell ref="B109:D109"/>
    <mergeCell ref="B110:D110"/>
    <mergeCell ref="B111:D111"/>
    <mergeCell ref="B112:D112"/>
    <mergeCell ref="B116:D116"/>
    <mergeCell ref="B114:D114"/>
    <mergeCell ref="B115:D115"/>
    <mergeCell ref="B113:D113"/>
  </mergeCells>
  <printOptions/>
  <pageMargins left="0.2362204724409449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41"/>
  <sheetViews>
    <sheetView zoomScalePageLayoutView="0" workbookViewId="0" topLeftCell="A52">
      <selection activeCell="B59" sqref="B59"/>
    </sheetView>
  </sheetViews>
  <sheetFormatPr defaultColWidth="13.421875" defaultRowHeight="12.75" outlineLevelRow="2"/>
  <cols>
    <col min="1" max="1" width="2.28125" style="1" customWidth="1"/>
    <col min="2" max="2" width="11.8515625" style="1" customWidth="1"/>
    <col min="3" max="3" width="14.7109375" style="1" customWidth="1"/>
    <col min="4" max="4" width="79.5742187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4.25">
      <c r="A1" s="258" t="s">
        <v>2249</v>
      </c>
      <c r="B1" s="315"/>
      <c r="C1" s="315"/>
      <c r="D1" s="315"/>
      <c r="E1" s="316"/>
    </row>
    <row r="2" spans="1:6" ht="15">
      <c r="A2" s="42"/>
      <c r="B2" s="133" t="s">
        <v>1570</v>
      </c>
      <c r="C2" s="134" t="s">
        <v>1571</v>
      </c>
      <c r="D2" s="113" t="s">
        <v>1572</v>
      </c>
      <c r="E2" s="135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E4+E6+E8</f>
        <v>59737.049999999996</v>
      </c>
    </row>
    <row r="4" spans="1:5" ht="15.75" customHeight="1" outlineLevel="1">
      <c r="A4" s="255" t="s">
        <v>1589</v>
      </c>
      <c r="B4" s="256"/>
      <c r="C4" s="256"/>
      <c r="D4" s="257"/>
      <c r="E4" s="105">
        <f>SUM(E5:E5)</f>
        <v>40882.63</v>
      </c>
    </row>
    <row r="5" spans="1:6" ht="15" outlineLevel="2">
      <c r="A5" s="81"/>
      <c r="B5" s="84" t="s">
        <v>970</v>
      </c>
      <c r="C5" s="84" t="s">
        <v>1588</v>
      </c>
      <c r="D5" s="84" t="s">
        <v>971</v>
      </c>
      <c r="E5" s="106">
        <v>40882.63</v>
      </c>
      <c r="F5" s="14"/>
    </row>
    <row r="6" spans="1:5" ht="13.5" customHeight="1" outlineLevel="1">
      <c r="A6" s="255" t="s">
        <v>1591</v>
      </c>
      <c r="B6" s="256"/>
      <c r="C6" s="256"/>
      <c r="D6" s="257"/>
      <c r="E6" s="105">
        <f>SUM(E7:E7)</f>
        <v>14434.06</v>
      </c>
    </row>
    <row r="7" spans="1:6" ht="15" outlineLevel="2">
      <c r="A7" s="81"/>
      <c r="B7" s="84" t="s">
        <v>1017</v>
      </c>
      <c r="C7" s="84" t="s">
        <v>1580</v>
      </c>
      <c r="D7" s="84" t="s">
        <v>1018</v>
      </c>
      <c r="E7" s="106">
        <v>14434.06</v>
      </c>
      <c r="F7" s="14"/>
    </row>
    <row r="8" spans="1:5" ht="15" customHeight="1" outlineLevel="1">
      <c r="A8" s="255" t="s">
        <v>1598</v>
      </c>
      <c r="B8" s="256"/>
      <c r="C8" s="256"/>
      <c r="D8" s="257"/>
      <c r="E8" s="105">
        <f>SUM(E9:E9)</f>
        <v>4420.36</v>
      </c>
    </row>
    <row r="9" spans="1:6" ht="13.5" customHeight="1" outlineLevel="2">
      <c r="A9" s="81"/>
      <c r="B9" s="84" t="s">
        <v>242</v>
      </c>
      <c r="C9" s="84" t="s">
        <v>1579</v>
      </c>
      <c r="D9" s="84" t="s">
        <v>245</v>
      </c>
      <c r="E9" s="106">
        <v>4420.36</v>
      </c>
      <c r="F9" s="14"/>
    </row>
    <row r="10" spans="1:5" ht="13.5" customHeight="1">
      <c r="A10" s="91"/>
      <c r="B10" s="308"/>
      <c r="C10" s="308"/>
      <c r="D10" s="155" t="s">
        <v>1600</v>
      </c>
      <c r="E10" s="130">
        <f>E11+E23+E32+E43+E58+E60+E66+E79+E80+E91+E94+E110+E116+E118+E119</f>
        <v>599270.0640000001</v>
      </c>
    </row>
    <row r="11" spans="1:5" ht="13.5" customHeight="1" outlineLevel="1">
      <c r="A11" s="255" t="s">
        <v>1576</v>
      </c>
      <c r="B11" s="256"/>
      <c r="C11" s="256"/>
      <c r="D11" s="257"/>
      <c r="E11" s="105">
        <f>SUM(E12:E22)</f>
        <v>21333.31</v>
      </c>
    </row>
    <row r="12" spans="1:6" ht="16.5" customHeight="1" outlineLevel="2">
      <c r="A12" s="42"/>
      <c r="B12" s="83" t="s">
        <v>872</v>
      </c>
      <c r="C12" s="83" t="s">
        <v>1578</v>
      </c>
      <c r="D12" s="83" t="s">
        <v>1487</v>
      </c>
      <c r="E12" s="106">
        <v>1267.4</v>
      </c>
      <c r="F12" s="14"/>
    </row>
    <row r="13" spans="1:6" ht="15" outlineLevel="2">
      <c r="A13" s="42"/>
      <c r="B13" s="83" t="s">
        <v>2181</v>
      </c>
      <c r="C13" s="83" t="s">
        <v>1579</v>
      </c>
      <c r="D13" s="83" t="s">
        <v>2334</v>
      </c>
      <c r="E13" s="106">
        <v>433.09</v>
      </c>
      <c r="F13" s="14"/>
    </row>
    <row r="14" spans="1:6" ht="15" outlineLevel="2">
      <c r="A14" s="42"/>
      <c r="B14" s="83" t="s">
        <v>2</v>
      </c>
      <c r="C14" s="83" t="s">
        <v>1580</v>
      </c>
      <c r="D14" s="83" t="s">
        <v>2277</v>
      </c>
      <c r="E14" s="106">
        <v>321.44</v>
      </c>
      <c r="F14" s="14"/>
    </row>
    <row r="15" spans="1:6" ht="15" outlineLevel="2">
      <c r="A15" s="42"/>
      <c r="B15" s="83" t="s">
        <v>1489</v>
      </c>
      <c r="C15" s="83" t="s">
        <v>1580</v>
      </c>
      <c r="D15" s="83" t="s">
        <v>1619</v>
      </c>
      <c r="E15" s="106">
        <v>420.15</v>
      </c>
      <c r="F15" s="14"/>
    </row>
    <row r="16" spans="1:6" ht="15" outlineLevel="2">
      <c r="A16" s="42"/>
      <c r="B16" s="83" t="s">
        <v>875</v>
      </c>
      <c r="C16" s="83" t="s">
        <v>1582</v>
      </c>
      <c r="D16" s="83" t="s">
        <v>1174</v>
      </c>
      <c r="E16" s="106">
        <v>206.03</v>
      </c>
      <c r="F16" s="14"/>
    </row>
    <row r="17" spans="1:6" ht="15" outlineLevel="2">
      <c r="A17" s="42"/>
      <c r="B17" s="83" t="s">
        <v>1093</v>
      </c>
      <c r="C17" s="83" t="s">
        <v>1582</v>
      </c>
      <c r="D17" s="83" t="s">
        <v>1094</v>
      </c>
      <c r="E17" s="106">
        <v>10481</v>
      </c>
      <c r="F17" s="14"/>
    </row>
    <row r="18" spans="1:6" ht="15" outlineLevel="2">
      <c r="A18" s="42"/>
      <c r="B18" s="83" t="s">
        <v>1039</v>
      </c>
      <c r="C18" s="83" t="s">
        <v>1582</v>
      </c>
      <c r="D18" s="83" t="s">
        <v>1049</v>
      </c>
      <c r="E18" s="106">
        <v>120.9</v>
      </c>
      <c r="F18" s="14"/>
    </row>
    <row r="19" spans="1:6" ht="26.25" customHeight="1" outlineLevel="2">
      <c r="A19" s="42"/>
      <c r="B19" s="83" t="s">
        <v>508</v>
      </c>
      <c r="C19" s="83" t="s">
        <v>1582</v>
      </c>
      <c r="D19" s="83" t="s">
        <v>509</v>
      </c>
      <c r="E19" s="106">
        <v>784.85</v>
      </c>
      <c r="F19" s="14"/>
    </row>
    <row r="20" spans="1:6" ht="15" outlineLevel="2">
      <c r="A20" s="42"/>
      <c r="B20" s="83" t="s">
        <v>1695</v>
      </c>
      <c r="C20" s="83" t="s">
        <v>1583</v>
      </c>
      <c r="D20" s="83" t="s">
        <v>1326</v>
      </c>
      <c r="E20" s="106">
        <v>166.95</v>
      </c>
      <c r="F20" s="14"/>
    </row>
    <row r="21" spans="1:6" ht="15" outlineLevel="2">
      <c r="A21" s="42"/>
      <c r="B21" s="83" t="s">
        <v>1033</v>
      </c>
      <c r="C21" s="83" t="s">
        <v>1583</v>
      </c>
      <c r="D21" s="83" t="s">
        <v>509</v>
      </c>
      <c r="E21" s="106">
        <v>6730.75</v>
      </c>
      <c r="F21" s="14"/>
    </row>
    <row r="22" spans="1:6" ht="15" outlineLevel="2">
      <c r="A22" s="42"/>
      <c r="B22" s="83" t="s">
        <v>2</v>
      </c>
      <c r="C22" s="83" t="s">
        <v>1583</v>
      </c>
      <c r="D22" s="83" t="s">
        <v>855</v>
      </c>
      <c r="E22" s="106">
        <v>400.75</v>
      </c>
      <c r="F22" s="14"/>
    </row>
    <row r="23" spans="1:5" ht="14.25" customHeight="1" outlineLevel="1">
      <c r="A23" s="255" t="s">
        <v>1589</v>
      </c>
      <c r="B23" s="256"/>
      <c r="C23" s="256"/>
      <c r="D23" s="257"/>
      <c r="E23" s="105">
        <f>SUM(E24:E31)</f>
        <v>39528.5</v>
      </c>
    </row>
    <row r="24" spans="1:6" ht="30" outlineLevel="2">
      <c r="A24" s="42"/>
      <c r="B24" s="82" t="s">
        <v>430</v>
      </c>
      <c r="C24" s="82" t="s">
        <v>1577</v>
      </c>
      <c r="D24" s="82" t="s">
        <v>2118</v>
      </c>
      <c r="E24" s="106">
        <v>638.8</v>
      </c>
      <c r="F24" s="14"/>
    </row>
    <row r="25" spans="1:6" ht="15" outlineLevel="2">
      <c r="A25" s="42"/>
      <c r="B25" s="83" t="s">
        <v>380</v>
      </c>
      <c r="C25" s="83" t="s">
        <v>1578</v>
      </c>
      <c r="D25" s="83" t="s">
        <v>381</v>
      </c>
      <c r="E25" s="106">
        <v>356.25</v>
      </c>
      <c r="F25" s="14"/>
    </row>
    <row r="26" spans="1:6" ht="15" outlineLevel="2">
      <c r="A26" s="42"/>
      <c r="B26" s="83" t="s">
        <v>14</v>
      </c>
      <c r="C26" s="83" t="s">
        <v>1579</v>
      </c>
      <c r="D26" s="83" t="s">
        <v>2168</v>
      </c>
      <c r="E26" s="106">
        <v>513.4</v>
      </c>
      <c r="F26" s="14"/>
    </row>
    <row r="27" spans="1:6" ht="15" outlineLevel="2">
      <c r="A27" s="42"/>
      <c r="B27" s="83" t="s">
        <v>16</v>
      </c>
      <c r="C27" s="83" t="s">
        <v>1579</v>
      </c>
      <c r="D27" s="83" t="s">
        <v>1842</v>
      </c>
      <c r="E27" s="106">
        <v>571.69</v>
      </c>
      <c r="F27" s="14"/>
    </row>
    <row r="28" spans="1:6" ht="15" outlineLevel="2">
      <c r="A28" s="42"/>
      <c r="B28" s="83" t="s">
        <v>1494</v>
      </c>
      <c r="C28" s="83" t="s">
        <v>1581</v>
      </c>
      <c r="D28" s="83" t="s">
        <v>2261</v>
      </c>
      <c r="E28" s="106">
        <v>8831.29</v>
      </c>
      <c r="F28" s="14"/>
    </row>
    <row r="29" spans="1:6" ht="15" outlineLevel="2">
      <c r="A29" s="42"/>
      <c r="B29" s="83" t="s">
        <v>163</v>
      </c>
      <c r="C29" s="83" t="s">
        <v>1583</v>
      </c>
      <c r="D29" s="83" t="s">
        <v>165</v>
      </c>
      <c r="E29" s="106">
        <v>8727.26</v>
      </c>
      <c r="F29" s="14"/>
    </row>
    <row r="30" spans="1:6" ht="15" outlineLevel="2">
      <c r="A30" s="42"/>
      <c r="B30" s="83" t="s">
        <v>56</v>
      </c>
      <c r="C30" s="83" t="s">
        <v>1584</v>
      </c>
      <c r="D30" s="83" t="s">
        <v>2460</v>
      </c>
      <c r="E30" s="106">
        <v>7493.81</v>
      </c>
      <c r="F30" s="14"/>
    </row>
    <row r="31" spans="1:6" ht="44.25" customHeight="1" outlineLevel="2">
      <c r="A31" s="42"/>
      <c r="B31" s="83" t="s">
        <v>1300</v>
      </c>
      <c r="C31" s="83" t="s">
        <v>1585</v>
      </c>
      <c r="D31" s="83" t="s">
        <v>1301</v>
      </c>
      <c r="E31" s="106">
        <v>12396</v>
      </c>
      <c r="F31" s="14"/>
    </row>
    <row r="32" spans="1:5" ht="14.25" customHeight="1" outlineLevel="1">
      <c r="A32" s="255" t="s">
        <v>1590</v>
      </c>
      <c r="B32" s="256"/>
      <c r="C32" s="256"/>
      <c r="D32" s="257"/>
      <c r="E32" s="105">
        <f>SUM(E33:E42)</f>
        <v>75205.16</v>
      </c>
    </row>
    <row r="33" spans="1:6" ht="15" outlineLevel="2">
      <c r="A33" s="42"/>
      <c r="B33" s="88" t="s">
        <v>2143</v>
      </c>
      <c r="C33" s="82" t="s">
        <v>1577</v>
      </c>
      <c r="D33" s="82" t="s">
        <v>2144</v>
      </c>
      <c r="E33" s="106">
        <v>638.8</v>
      </c>
      <c r="F33" s="14"/>
    </row>
    <row r="34" spans="1:6" ht="15" outlineLevel="2">
      <c r="A34" s="42"/>
      <c r="B34" s="87" t="s">
        <v>2</v>
      </c>
      <c r="C34" s="83" t="s">
        <v>1577</v>
      </c>
      <c r="D34" s="83" t="s">
        <v>1507</v>
      </c>
      <c r="E34" s="106">
        <v>283.5</v>
      </c>
      <c r="F34" s="14"/>
    </row>
    <row r="35" spans="1:6" ht="15" outlineLevel="2">
      <c r="A35" s="42"/>
      <c r="B35" s="87" t="s">
        <v>1701</v>
      </c>
      <c r="C35" s="83" t="s">
        <v>1580</v>
      </c>
      <c r="D35" s="83" t="s">
        <v>1063</v>
      </c>
      <c r="E35" s="106">
        <v>10238.2</v>
      </c>
      <c r="F35" s="14"/>
    </row>
    <row r="36" spans="1:6" ht="15" outlineLevel="2">
      <c r="A36" s="42"/>
      <c r="B36" s="87" t="s">
        <v>137</v>
      </c>
      <c r="C36" s="83" t="s">
        <v>1580</v>
      </c>
      <c r="D36" s="83" t="s">
        <v>1036</v>
      </c>
      <c r="E36" s="106">
        <v>2730.93</v>
      </c>
      <c r="F36" s="14"/>
    </row>
    <row r="37" spans="1:6" ht="15" outlineLevel="2">
      <c r="A37" s="42"/>
      <c r="B37" s="87" t="s">
        <v>2</v>
      </c>
      <c r="C37" s="83" t="s">
        <v>1581</v>
      </c>
      <c r="D37" s="83" t="s">
        <v>940</v>
      </c>
      <c r="E37" s="106">
        <v>165.51</v>
      </c>
      <c r="F37" s="14"/>
    </row>
    <row r="38" spans="1:6" ht="15" outlineLevel="2">
      <c r="A38" s="42"/>
      <c r="B38" s="87" t="s">
        <v>29</v>
      </c>
      <c r="C38" s="83" t="s">
        <v>1584</v>
      </c>
      <c r="D38" s="83" t="s">
        <v>2507</v>
      </c>
      <c r="E38" s="106">
        <v>458.58</v>
      </c>
      <c r="F38" s="14"/>
    </row>
    <row r="39" spans="1:6" ht="15" outlineLevel="2">
      <c r="A39" s="42"/>
      <c r="B39" s="87" t="s">
        <v>197</v>
      </c>
      <c r="C39" s="83" t="s">
        <v>1584</v>
      </c>
      <c r="D39" s="83" t="s">
        <v>760</v>
      </c>
      <c r="E39" s="106">
        <v>28138.5</v>
      </c>
      <c r="F39" s="14"/>
    </row>
    <row r="40" spans="1:6" ht="15" customHeight="1" outlineLevel="2">
      <c r="A40" s="42"/>
      <c r="B40" s="87" t="s">
        <v>2018</v>
      </c>
      <c r="C40" s="83" t="s">
        <v>1586</v>
      </c>
      <c r="D40" s="83" t="s">
        <v>2019</v>
      </c>
      <c r="E40" s="106">
        <v>1081</v>
      </c>
      <c r="F40" s="14"/>
    </row>
    <row r="41" spans="1:6" ht="30" outlineLevel="2">
      <c r="A41" s="42"/>
      <c r="B41" s="87" t="s">
        <v>192</v>
      </c>
      <c r="C41" s="83" t="s">
        <v>1586</v>
      </c>
      <c r="D41" s="83" t="s">
        <v>783</v>
      </c>
      <c r="E41" s="106">
        <v>7353.35</v>
      </c>
      <c r="F41" s="14"/>
    </row>
    <row r="42" spans="1:6" ht="14.25" customHeight="1" outlineLevel="2">
      <c r="A42" s="42"/>
      <c r="B42" s="87" t="s">
        <v>1373</v>
      </c>
      <c r="C42" s="83" t="s">
        <v>1588</v>
      </c>
      <c r="D42" s="83" t="s">
        <v>63</v>
      </c>
      <c r="E42" s="106">
        <v>24116.79</v>
      </c>
      <c r="F42" s="14"/>
    </row>
    <row r="43" spans="1:5" ht="15" customHeight="1" outlineLevel="1">
      <c r="A43" s="255" t="s">
        <v>1591</v>
      </c>
      <c r="B43" s="256"/>
      <c r="C43" s="256"/>
      <c r="D43" s="257"/>
      <c r="E43" s="105">
        <f>SUM(E44:E57)</f>
        <v>21803.88</v>
      </c>
    </row>
    <row r="44" spans="1:6" ht="15" outlineLevel="2">
      <c r="A44" s="42"/>
      <c r="B44" s="88" t="s">
        <v>3</v>
      </c>
      <c r="C44" s="82" t="s">
        <v>1577</v>
      </c>
      <c r="D44" s="82" t="s">
        <v>325</v>
      </c>
      <c r="E44" s="106">
        <v>707</v>
      </c>
      <c r="F44" s="14"/>
    </row>
    <row r="45" spans="1:6" ht="15" outlineLevel="2">
      <c r="A45" s="42"/>
      <c r="B45" s="87" t="s">
        <v>266</v>
      </c>
      <c r="C45" s="83" t="s">
        <v>1577</v>
      </c>
      <c r="D45" s="83" t="s">
        <v>267</v>
      </c>
      <c r="E45" s="106">
        <v>108.8</v>
      </c>
      <c r="F45" s="14"/>
    </row>
    <row r="46" spans="1:6" ht="15" outlineLevel="2">
      <c r="A46" s="42"/>
      <c r="B46" s="87" t="s">
        <v>1267</v>
      </c>
      <c r="C46" s="83" t="s">
        <v>1577</v>
      </c>
      <c r="D46" s="83" t="s">
        <v>864</v>
      </c>
      <c r="E46" s="106">
        <v>133.75</v>
      </c>
      <c r="F46" s="14"/>
    </row>
    <row r="47" spans="1:6" ht="15" outlineLevel="2">
      <c r="A47" s="42"/>
      <c r="B47" s="87" t="s">
        <v>1064</v>
      </c>
      <c r="C47" s="83" t="s">
        <v>1579</v>
      </c>
      <c r="D47" s="83" t="s">
        <v>601</v>
      </c>
      <c r="E47" s="106">
        <v>1439.6</v>
      </c>
      <c r="F47" s="14"/>
    </row>
    <row r="48" spans="1:6" ht="16.5" customHeight="1" outlineLevel="2">
      <c r="A48" s="42"/>
      <c r="B48" s="87" t="s">
        <v>184</v>
      </c>
      <c r="C48" s="83" t="s">
        <v>1580</v>
      </c>
      <c r="D48" s="83" t="s">
        <v>687</v>
      </c>
      <c r="E48" s="106">
        <v>4421</v>
      </c>
      <c r="F48" s="14"/>
    </row>
    <row r="49" spans="1:6" ht="15" outlineLevel="2">
      <c r="A49" s="42"/>
      <c r="B49" s="87" t="s">
        <v>433</v>
      </c>
      <c r="C49" s="83" t="s">
        <v>1581</v>
      </c>
      <c r="D49" s="83" t="s">
        <v>434</v>
      </c>
      <c r="E49" s="106">
        <v>1445.52</v>
      </c>
      <c r="F49" s="14"/>
    </row>
    <row r="50" spans="1:6" ht="15" outlineLevel="2">
      <c r="A50" s="42"/>
      <c r="B50" s="87" t="s">
        <v>1251</v>
      </c>
      <c r="C50" s="83" t="s">
        <v>1581</v>
      </c>
      <c r="D50" s="83" t="s">
        <v>448</v>
      </c>
      <c r="E50" s="106">
        <v>1148.57</v>
      </c>
      <c r="F50" s="14"/>
    </row>
    <row r="51" spans="1:6" ht="15" outlineLevel="2">
      <c r="A51" s="42"/>
      <c r="B51" s="87" t="s">
        <v>103</v>
      </c>
      <c r="C51" s="83" t="s">
        <v>1582</v>
      </c>
      <c r="D51" s="83" t="s">
        <v>308</v>
      </c>
      <c r="E51" s="106">
        <v>493.02</v>
      </c>
      <c r="F51" s="14"/>
    </row>
    <row r="52" spans="1:6" ht="15" outlineLevel="2">
      <c r="A52" s="42"/>
      <c r="B52" s="87" t="s">
        <v>1039</v>
      </c>
      <c r="C52" s="83" t="s">
        <v>1582</v>
      </c>
      <c r="D52" s="83" t="s">
        <v>1046</v>
      </c>
      <c r="E52" s="106">
        <v>120.9</v>
      </c>
      <c r="F52" s="14"/>
    </row>
    <row r="53" spans="1:6" ht="15" outlineLevel="2">
      <c r="A53" s="42"/>
      <c r="B53" s="87" t="s">
        <v>1078</v>
      </c>
      <c r="C53" s="83" t="s">
        <v>1583</v>
      </c>
      <c r="D53" s="83" t="s">
        <v>1079</v>
      </c>
      <c r="E53" s="106">
        <v>725.19</v>
      </c>
      <c r="F53" s="14"/>
    </row>
    <row r="54" spans="1:6" ht="15" outlineLevel="2">
      <c r="A54" s="42"/>
      <c r="B54" s="87" t="s">
        <v>524</v>
      </c>
      <c r="C54" s="83" t="s">
        <v>1584</v>
      </c>
      <c r="D54" s="83" t="s">
        <v>2444</v>
      </c>
      <c r="E54" s="106">
        <v>1856.46</v>
      </c>
      <c r="F54" s="14"/>
    </row>
    <row r="55" spans="1:6" ht="15" outlineLevel="2">
      <c r="A55" s="42"/>
      <c r="B55" s="87" t="s">
        <v>627</v>
      </c>
      <c r="C55" s="83" t="s">
        <v>1584</v>
      </c>
      <c r="D55" s="83" t="s">
        <v>2444</v>
      </c>
      <c r="E55" s="106">
        <v>1846.24</v>
      </c>
      <c r="F55" s="14"/>
    </row>
    <row r="56" spans="1:6" ht="15" outlineLevel="2">
      <c r="A56" s="42"/>
      <c r="B56" s="87" t="s">
        <v>2415</v>
      </c>
      <c r="C56" s="83" t="s">
        <v>1586</v>
      </c>
      <c r="D56" s="83" t="s">
        <v>2416</v>
      </c>
      <c r="E56" s="106">
        <v>3999.01</v>
      </c>
      <c r="F56" s="14"/>
    </row>
    <row r="57" spans="1:6" ht="15" outlineLevel="2">
      <c r="A57" s="42"/>
      <c r="B57" s="87" t="s">
        <v>1125</v>
      </c>
      <c r="C57" s="83" t="s">
        <v>1587</v>
      </c>
      <c r="D57" s="83" t="s">
        <v>1127</v>
      </c>
      <c r="E57" s="106">
        <v>3358.82</v>
      </c>
      <c r="F57" s="14"/>
    </row>
    <row r="58" spans="1:5" ht="15.75" customHeight="1" outlineLevel="1">
      <c r="A58" s="255" t="s">
        <v>1594</v>
      </c>
      <c r="B58" s="256"/>
      <c r="C58" s="256"/>
      <c r="D58" s="257"/>
      <c r="E58" s="105">
        <f>SUM(E59:E59)</f>
        <v>2093.13</v>
      </c>
    </row>
    <row r="59" spans="1:6" ht="15" outlineLevel="2">
      <c r="A59" s="42"/>
      <c r="B59" s="87" t="s">
        <v>913</v>
      </c>
      <c r="C59" s="83" t="s">
        <v>1587</v>
      </c>
      <c r="D59" s="83" t="s">
        <v>1178</v>
      </c>
      <c r="E59" s="106">
        <v>2093.13</v>
      </c>
      <c r="F59" s="14"/>
    </row>
    <row r="60" spans="1:5" ht="14.25" customHeight="1" outlineLevel="1">
      <c r="A60" s="255" t="s">
        <v>1599</v>
      </c>
      <c r="B60" s="256"/>
      <c r="C60" s="256"/>
      <c r="D60" s="257"/>
      <c r="E60" s="105">
        <f>SUM(E61:E65)</f>
        <v>5963.2300000000005</v>
      </c>
    </row>
    <row r="61" spans="1:6" ht="15" outlineLevel="2">
      <c r="A61" s="42"/>
      <c r="B61" s="83" t="s">
        <v>17</v>
      </c>
      <c r="C61" s="83" t="s">
        <v>1579</v>
      </c>
      <c r="D61" s="83" t="s">
        <v>2362</v>
      </c>
      <c r="E61" s="106">
        <v>58.05</v>
      </c>
      <c r="F61" s="14"/>
    </row>
    <row r="62" spans="1:6" ht="15" outlineLevel="2">
      <c r="A62" s="42"/>
      <c r="B62" s="83" t="s">
        <v>1704</v>
      </c>
      <c r="C62" s="83" t="s">
        <v>1581</v>
      </c>
      <c r="D62" s="83" t="s">
        <v>2117</v>
      </c>
      <c r="E62" s="106">
        <v>4303.89</v>
      </c>
      <c r="F62" s="14"/>
    </row>
    <row r="63" spans="1:6" ht="15" outlineLevel="2">
      <c r="A63" s="42"/>
      <c r="B63" s="83" t="s">
        <v>1260</v>
      </c>
      <c r="C63" s="83" t="s">
        <v>1583</v>
      </c>
      <c r="D63" s="83" t="s">
        <v>957</v>
      </c>
      <c r="E63" s="106">
        <v>613.54</v>
      </c>
      <c r="F63" s="14"/>
    </row>
    <row r="64" spans="1:6" ht="15" outlineLevel="2">
      <c r="A64" s="42"/>
      <c r="B64" s="83" t="s">
        <v>2493</v>
      </c>
      <c r="C64" s="83" t="s">
        <v>1583</v>
      </c>
      <c r="D64" s="83" t="s">
        <v>2498</v>
      </c>
      <c r="E64" s="106">
        <v>42.75</v>
      </c>
      <c r="F64" s="14"/>
    </row>
    <row r="65" spans="1:6" ht="16.5" customHeight="1" outlineLevel="2">
      <c r="A65" s="42"/>
      <c r="B65" s="83" t="s">
        <v>392</v>
      </c>
      <c r="C65" s="83" t="s">
        <v>1586</v>
      </c>
      <c r="D65" s="83" t="s">
        <v>393</v>
      </c>
      <c r="E65" s="106">
        <v>945</v>
      </c>
      <c r="F65" s="14"/>
    </row>
    <row r="66" spans="1:5" ht="12" customHeight="1" outlineLevel="1" collapsed="1">
      <c r="A66" s="255" t="s">
        <v>1713</v>
      </c>
      <c r="B66" s="256"/>
      <c r="C66" s="256"/>
      <c r="D66" s="257"/>
      <c r="E66" s="105">
        <f>SUM(E67:E78)</f>
        <v>247342.08</v>
      </c>
    </row>
    <row r="67" spans="1:6" ht="15" hidden="1" outlineLevel="2">
      <c r="A67" s="42"/>
      <c r="B67" s="82"/>
      <c r="C67" s="82" t="s">
        <v>1577</v>
      </c>
      <c r="D67" s="82" t="s">
        <v>1496</v>
      </c>
      <c r="E67" s="106">
        <v>20982.29</v>
      </c>
      <c r="F67" s="14"/>
    </row>
    <row r="68" spans="1:6" ht="15" hidden="1" outlineLevel="2">
      <c r="A68" s="42"/>
      <c r="B68" s="83"/>
      <c r="C68" s="83" t="s">
        <v>1578</v>
      </c>
      <c r="D68" s="83" t="s">
        <v>1496</v>
      </c>
      <c r="E68" s="106">
        <v>20982.29</v>
      </c>
      <c r="F68" s="14"/>
    </row>
    <row r="69" spans="1:6" ht="15" hidden="1" outlineLevel="2">
      <c r="A69" s="42"/>
      <c r="B69" s="83"/>
      <c r="C69" s="83" t="s">
        <v>1579</v>
      </c>
      <c r="D69" s="83" t="s">
        <v>1496</v>
      </c>
      <c r="E69" s="106">
        <v>20982.29</v>
      </c>
      <c r="F69" s="14"/>
    </row>
    <row r="70" spans="1:6" ht="15" hidden="1" outlineLevel="2">
      <c r="A70" s="42"/>
      <c r="B70" s="83"/>
      <c r="C70" s="83" t="s">
        <v>1580</v>
      </c>
      <c r="D70" s="83" t="s">
        <v>1496</v>
      </c>
      <c r="E70" s="106">
        <v>20982.29</v>
      </c>
      <c r="F70" s="14"/>
    </row>
    <row r="71" spans="1:6" ht="15" hidden="1" outlineLevel="2">
      <c r="A71" s="42"/>
      <c r="B71" s="83"/>
      <c r="C71" s="83" t="s">
        <v>1581</v>
      </c>
      <c r="D71" s="83" t="s">
        <v>1496</v>
      </c>
      <c r="E71" s="106">
        <v>20093.21</v>
      </c>
      <c r="F71" s="14"/>
    </row>
    <row r="72" spans="1:6" ht="15" hidden="1" outlineLevel="2">
      <c r="A72" s="42"/>
      <c r="B72" s="83"/>
      <c r="C72" s="83" t="s">
        <v>1582</v>
      </c>
      <c r="D72" s="83" t="s">
        <v>1496</v>
      </c>
      <c r="E72" s="106">
        <v>20093.21</v>
      </c>
      <c r="F72" s="14"/>
    </row>
    <row r="73" spans="1:6" ht="15" hidden="1" outlineLevel="2">
      <c r="A73" s="42"/>
      <c r="B73" s="83"/>
      <c r="C73" s="83" t="s">
        <v>1583</v>
      </c>
      <c r="D73" s="83" t="s">
        <v>1496</v>
      </c>
      <c r="E73" s="106">
        <v>20093.21</v>
      </c>
      <c r="F73" s="14"/>
    </row>
    <row r="74" spans="1:6" ht="15" hidden="1" outlineLevel="2">
      <c r="A74" s="42"/>
      <c r="B74" s="83"/>
      <c r="C74" s="83" t="s">
        <v>1584</v>
      </c>
      <c r="D74" s="83" t="s">
        <v>1496</v>
      </c>
      <c r="E74" s="106">
        <v>20093.21</v>
      </c>
      <c r="F74" s="14"/>
    </row>
    <row r="75" spans="1:6" ht="15" hidden="1" outlineLevel="2">
      <c r="A75" s="42"/>
      <c r="B75" s="83"/>
      <c r="C75" s="83" t="s">
        <v>1585</v>
      </c>
      <c r="D75" s="83" t="s">
        <v>1496</v>
      </c>
      <c r="E75" s="106">
        <v>20093.21</v>
      </c>
      <c r="F75" s="14"/>
    </row>
    <row r="76" spans="1:6" ht="15" hidden="1" outlineLevel="2">
      <c r="A76" s="42"/>
      <c r="B76" s="83"/>
      <c r="C76" s="83" t="s">
        <v>1586</v>
      </c>
      <c r="D76" s="83" t="s">
        <v>1496</v>
      </c>
      <c r="E76" s="106">
        <v>20982.29</v>
      </c>
      <c r="F76" s="14"/>
    </row>
    <row r="77" spans="1:6" ht="15" hidden="1" outlineLevel="2">
      <c r="A77" s="42"/>
      <c r="B77" s="83"/>
      <c r="C77" s="83" t="s">
        <v>1587</v>
      </c>
      <c r="D77" s="83" t="s">
        <v>1496</v>
      </c>
      <c r="E77" s="106">
        <v>20982.29</v>
      </c>
      <c r="F77" s="14"/>
    </row>
    <row r="78" spans="1:6" ht="15" hidden="1" outlineLevel="2">
      <c r="A78" s="42"/>
      <c r="B78" s="89"/>
      <c r="C78" s="83" t="s">
        <v>1588</v>
      </c>
      <c r="D78" s="83" t="s">
        <v>1496</v>
      </c>
      <c r="E78" s="106">
        <v>20982.29</v>
      </c>
      <c r="F78" s="14"/>
    </row>
    <row r="79" spans="1:5" ht="15" customHeight="1" outlineLevel="1">
      <c r="A79" s="255" t="s">
        <v>1714</v>
      </c>
      <c r="B79" s="256"/>
      <c r="C79" s="256"/>
      <c r="D79" s="257"/>
      <c r="E79" s="105">
        <f>1.46*5927.2*12</f>
        <v>103844.544</v>
      </c>
    </row>
    <row r="80" spans="1:5" ht="12.75" customHeight="1" outlineLevel="1">
      <c r="A80" s="255" t="s">
        <v>1715</v>
      </c>
      <c r="B80" s="256"/>
      <c r="C80" s="256"/>
      <c r="D80" s="257"/>
      <c r="E80" s="105">
        <f>SUM(E81:E90)</f>
        <v>6161.32</v>
      </c>
    </row>
    <row r="81" spans="1:6" ht="15" outlineLevel="2">
      <c r="A81" s="42"/>
      <c r="B81" s="83" t="s">
        <v>139</v>
      </c>
      <c r="C81" s="83" t="s">
        <v>1580</v>
      </c>
      <c r="D81" s="83" t="s">
        <v>2233</v>
      </c>
      <c r="E81" s="106">
        <v>578.08</v>
      </c>
      <c r="F81" s="14"/>
    </row>
    <row r="82" spans="1:6" ht="15" outlineLevel="2">
      <c r="A82" s="42"/>
      <c r="B82" s="83" t="s">
        <v>222</v>
      </c>
      <c r="C82" s="83" t="s">
        <v>1581</v>
      </c>
      <c r="D82" s="83" t="s">
        <v>1005</v>
      </c>
      <c r="E82" s="106">
        <v>603.75</v>
      </c>
      <c r="F82" s="14"/>
    </row>
    <row r="83" spans="1:6" ht="15" outlineLevel="2">
      <c r="A83" s="42"/>
      <c r="B83" s="83" t="s">
        <v>1678</v>
      </c>
      <c r="C83" s="83" t="s">
        <v>1581</v>
      </c>
      <c r="D83" s="83" t="s">
        <v>607</v>
      </c>
      <c r="E83" s="106">
        <v>513.59</v>
      </c>
      <c r="F83" s="14"/>
    </row>
    <row r="84" spans="1:6" ht="15" outlineLevel="2">
      <c r="A84" s="42"/>
      <c r="B84" s="83" t="s">
        <v>1687</v>
      </c>
      <c r="C84" s="83" t="s">
        <v>1582</v>
      </c>
      <c r="D84" s="83" t="s">
        <v>1005</v>
      </c>
      <c r="E84" s="106">
        <v>1688</v>
      </c>
      <c r="F84" s="14"/>
    </row>
    <row r="85" spans="1:6" ht="30" outlineLevel="2">
      <c r="A85" s="42"/>
      <c r="B85" s="83" t="s">
        <v>761</v>
      </c>
      <c r="C85" s="83" t="s">
        <v>1582</v>
      </c>
      <c r="D85" s="83" t="s">
        <v>762</v>
      </c>
      <c r="E85" s="106">
        <v>250</v>
      </c>
      <c r="F85" s="14"/>
    </row>
    <row r="86" spans="1:6" ht="15" outlineLevel="2">
      <c r="A86" s="42"/>
      <c r="B86" s="83" t="s">
        <v>1258</v>
      </c>
      <c r="C86" s="83" t="s">
        <v>1583</v>
      </c>
      <c r="D86" s="83" t="s">
        <v>152</v>
      </c>
      <c r="E86" s="106">
        <v>1008.4</v>
      </c>
      <c r="F86" s="14"/>
    </row>
    <row r="87" spans="1:6" ht="15" outlineLevel="2">
      <c r="A87" s="42"/>
      <c r="B87" s="83" t="s">
        <v>574</v>
      </c>
      <c r="C87" s="83" t="s">
        <v>1586</v>
      </c>
      <c r="D87" s="83" t="s">
        <v>1005</v>
      </c>
      <c r="E87" s="106">
        <v>468.09</v>
      </c>
      <c r="F87" s="14"/>
    </row>
    <row r="88" spans="1:6" ht="15" outlineLevel="2">
      <c r="A88" s="42"/>
      <c r="B88" s="83" t="s">
        <v>1071</v>
      </c>
      <c r="C88" s="83" t="s">
        <v>1588</v>
      </c>
      <c r="D88" s="83" t="s">
        <v>1070</v>
      </c>
      <c r="E88" s="106">
        <v>405</v>
      </c>
      <c r="F88" s="14"/>
    </row>
    <row r="89" spans="1:6" ht="15" outlineLevel="2">
      <c r="A89" s="42"/>
      <c r="B89" s="83" t="s">
        <v>206</v>
      </c>
      <c r="C89" s="83" t="s">
        <v>1587</v>
      </c>
      <c r="D89" s="83" t="s">
        <v>207</v>
      </c>
      <c r="E89" s="106">
        <v>278.3</v>
      </c>
      <c r="F89" s="14"/>
    </row>
    <row r="90" spans="1:6" ht="15" outlineLevel="2">
      <c r="A90" s="42"/>
      <c r="B90" s="83" t="s">
        <v>1958</v>
      </c>
      <c r="C90" s="83" t="s">
        <v>1588</v>
      </c>
      <c r="D90" s="83" t="s">
        <v>1963</v>
      </c>
      <c r="E90" s="106">
        <v>368.11</v>
      </c>
      <c r="F90" s="14"/>
    </row>
    <row r="91" spans="1:5" ht="13.5" customHeight="1" outlineLevel="1">
      <c r="A91" s="255" t="s">
        <v>1717</v>
      </c>
      <c r="B91" s="256"/>
      <c r="C91" s="256"/>
      <c r="D91" s="257"/>
      <c r="E91" s="105">
        <f>SUM(E92:E93)</f>
        <v>939.33</v>
      </c>
    </row>
    <row r="92" spans="1:6" ht="15" outlineLevel="2">
      <c r="A92" s="42"/>
      <c r="B92" s="82" t="s">
        <v>1267</v>
      </c>
      <c r="C92" s="82" t="s">
        <v>1577</v>
      </c>
      <c r="D92" s="82" t="s">
        <v>1495</v>
      </c>
      <c r="E92" s="106">
        <v>477.36</v>
      </c>
      <c r="F92" s="14"/>
    </row>
    <row r="93" spans="1:6" ht="15" outlineLevel="2">
      <c r="A93" s="42"/>
      <c r="B93" s="83" t="s">
        <v>2</v>
      </c>
      <c r="C93" s="83" t="s">
        <v>1581</v>
      </c>
      <c r="D93" s="83" t="s">
        <v>943</v>
      </c>
      <c r="E93" s="106">
        <v>461.97</v>
      </c>
      <c r="F93" s="14"/>
    </row>
    <row r="94" spans="1:5" ht="14.25" customHeight="1" outlineLevel="1">
      <c r="A94" s="255" t="s">
        <v>1595</v>
      </c>
      <c r="B94" s="256"/>
      <c r="C94" s="256"/>
      <c r="D94" s="257"/>
      <c r="E94" s="105">
        <f>SUM(E95:E109)</f>
        <v>37826.25</v>
      </c>
    </row>
    <row r="95" spans="1:6" ht="15" outlineLevel="2">
      <c r="A95" s="42"/>
      <c r="B95" s="82" t="s">
        <v>1267</v>
      </c>
      <c r="C95" s="82" t="s">
        <v>1577</v>
      </c>
      <c r="D95" s="82" t="s">
        <v>189</v>
      </c>
      <c r="E95" s="106">
        <v>133.75</v>
      </c>
      <c r="F95" s="14"/>
    </row>
    <row r="96" spans="1:6" ht="15.75" customHeight="1" outlineLevel="2">
      <c r="A96" s="42"/>
      <c r="B96" s="83" t="s">
        <v>1465</v>
      </c>
      <c r="C96" s="83" t="s">
        <v>1578</v>
      </c>
      <c r="D96" s="83" t="s">
        <v>825</v>
      </c>
      <c r="E96" s="106">
        <v>3107.24</v>
      </c>
      <c r="F96" s="14"/>
    </row>
    <row r="97" spans="1:6" ht="15" customHeight="1" outlineLevel="2">
      <c r="A97" s="42"/>
      <c r="B97" s="83" t="s">
        <v>1992</v>
      </c>
      <c r="C97" s="83" t="s">
        <v>1579</v>
      </c>
      <c r="D97" s="83" t="s">
        <v>203</v>
      </c>
      <c r="E97" s="106">
        <v>348.86</v>
      </c>
      <c r="F97" s="14"/>
    </row>
    <row r="98" spans="1:6" ht="15" outlineLevel="2">
      <c r="A98" s="42"/>
      <c r="B98" s="83" t="s">
        <v>2135</v>
      </c>
      <c r="C98" s="83" t="s">
        <v>1579</v>
      </c>
      <c r="D98" s="83" t="s">
        <v>824</v>
      </c>
      <c r="E98" s="106">
        <v>1262.96</v>
      </c>
      <c r="F98" s="14"/>
    </row>
    <row r="99" spans="1:6" ht="15" outlineLevel="2">
      <c r="A99" s="42"/>
      <c r="B99" s="83" t="s">
        <v>505</v>
      </c>
      <c r="C99" s="83" t="s">
        <v>1579</v>
      </c>
      <c r="D99" s="83" t="s">
        <v>506</v>
      </c>
      <c r="E99" s="106">
        <v>4397.86</v>
      </c>
      <c r="F99" s="14"/>
    </row>
    <row r="100" spans="1:6" ht="12.75" customHeight="1" outlineLevel="2">
      <c r="A100" s="42"/>
      <c r="B100" s="83" t="s">
        <v>323</v>
      </c>
      <c r="C100" s="83" t="s">
        <v>1579</v>
      </c>
      <c r="D100" s="83" t="s">
        <v>2250</v>
      </c>
      <c r="E100" s="106">
        <v>444.43</v>
      </c>
      <c r="F100" s="14"/>
    </row>
    <row r="101" spans="1:6" ht="15" outlineLevel="2">
      <c r="A101" s="42"/>
      <c r="B101" s="83" t="s">
        <v>478</v>
      </c>
      <c r="C101" s="83" t="s">
        <v>1580</v>
      </c>
      <c r="D101" s="83" t="s">
        <v>479</v>
      </c>
      <c r="E101" s="106">
        <v>276.4</v>
      </c>
      <c r="F101" s="14"/>
    </row>
    <row r="102" spans="1:6" ht="15" outlineLevel="2">
      <c r="A102" s="42"/>
      <c r="B102" s="83" t="s">
        <v>1026</v>
      </c>
      <c r="C102" s="83" t="s">
        <v>1580</v>
      </c>
      <c r="D102" s="83" t="s">
        <v>1031</v>
      </c>
      <c r="E102" s="106">
        <v>1448</v>
      </c>
      <c r="F102" s="14"/>
    </row>
    <row r="103" spans="1:6" ht="15" outlineLevel="2">
      <c r="A103" s="42"/>
      <c r="B103" s="83" t="s">
        <v>1244</v>
      </c>
      <c r="C103" s="83" t="s">
        <v>1580</v>
      </c>
      <c r="D103" s="83" t="s">
        <v>823</v>
      </c>
      <c r="E103" s="106">
        <v>1056.72</v>
      </c>
      <c r="F103" s="14"/>
    </row>
    <row r="104" spans="1:6" ht="15" outlineLevel="2">
      <c r="A104" s="42"/>
      <c r="B104" s="83" t="s">
        <v>1703</v>
      </c>
      <c r="C104" s="83" t="s">
        <v>1581</v>
      </c>
      <c r="D104" s="83" t="s">
        <v>51</v>
      </c>
      <c r="E104" s="106">
        <v>419</v>
      </c>
      <c r="F104" s="14"/>
    </row>
    <row r="105" spans="1:6" ht="15" outlineLevel="2">
      <c r="A105" s="42"/>
      <c r="B105" s="83" t="s">
        <v>1255</v>
      </c>
      <c r="C105" s="83" t="s">
        <v>1582</v>
      </c>
      <c r="D105" s="83" t="s">
        <v>822</v>
      </c>
      <c r="E105" s="106">
        <v>1104.65</v>
      </c>
      <c r="F105" s="14"/>
    </row>
    <row r="106" spans="1:6" ht="32.25" customHeight="1" outlineLevel="2">
      <c r="A106" s="42"/>
      <c r="B106" s="83" t="s">
        <v>945</v>
      </c>
      <c r="C106" s="83" t="s">
        <v>1586</v>
      </c>
      <c r="D106" s="83" t="s">
        <v>2252</v>
      </c>
      <c r="E106" s="106">
        <v>13391</v>
      </c>
      <c r="F106" s="14"/>
    </row>
    <row r="107" spans="1:6" ht="15" outlineLevel="2">
      <c r="A107" s="42"/>
      <c r="B107" s="83" t="s">
        <v>1282</v>
      </c>
      <c r="C107" s="83" t="s">
        <v>1587</v>
      </c>
      <c r="D107" s="83" t="s">
        <v>1284</v>
      </c>
      <c r="E107" s="106">
        <v>66.25</v>
      </c>
      <c r="F107" s="14"/>
    </row>
    <row r="108" spans="1:6" ht="15" outlineLevel="2">
      <c r="A108" s="42"/>
      <c r="B108" s="83" t="s">
        <v>913</v>
      </c>
      <c r="C108" s="83" t="s">
        <v>1587</v>
      </c>
      <c r="D108" s="83" t="s">
        <v>914</v>
      </c>
      <c r="E108" s="106">
        <v>2093.13</v>
      </c>
      <c r="F108" s="14"/>
    </row>
    <row r="109" spans="1:6" ht="30" customHeight="1" outlineLevel="2">
      <c r="A109" s="42"/>
      <c r="B109" s="83" t="s">
        <v>1068</v>
      </c>
      <c r="C109" s="83" t="s">
        <v>1588</v>
      </c>
      <c r="D109" s="83" t="s">
        <v>1302</v>
      </c>
      <c r="E109" s="106">
        <v>8276</v>
      </c>
      <c r="F109" s="14"/>
    </row>
    <row r="110" spans="1:5" ht="14.25" customHeight="1" outlineLevel="1">
      <c r="A110" s="255" t="s">
        <v>1718</v>
      </c>
      <c r="B110" s="256"/>
      <c r="C110" s="256"/>
      <c r="D110" s="257"/>
      <c r="E110" s="105">
        <f>SUM(E111:E115)</f>
        <v>20866.03</v>
      </c>
    </row>
    <row r="111" spans="1:6" ht="15" outlineLevel="2">
      <c r="A111" s="42"/>
      <c r="B111" s="82" t="s">
        <v>368</v>
      </c>
      <c r="C111" s="82" t="s">
        <v>1577</v>
      </c>
      <c r="D111" s="82" t="s">
        <v>1502</v>
      </c>
      <c r="E111" s="106">
        <v>17005</v>
      </c>
      <c r="F111" s="14"/>
    </row>
    <row r="112" spans="1:6" ht="15" outlineLevel="2">
      <c r="A112" s="42"/>
      <c r="B112" s="83" t="s">
        <v>878</v>
      </c>
      <c r="C112" s="83" t="s">
        <v>1579</v>
      </c>
      <c r="D112" s="83" t="s">
        <v>2251</v>
      </c>
      <c r="E112" s="106">
        <v>587</v>
      </c>
      <c r="F112" s="14"/>
    </row>
    <row r="113" spans="1:6" ht="15" outlineLevel="2">
      <c r="A113" s="42"/>
      <c r="B113" s="83" t="s">
        <v>2</v>
      </c>
      <c r="C113" s="83" t="s">
        <v>1581</v>
      </c>
      <c r="D113" s="83" t="s">
        <v>2390</v>
      </c>
      <c r="E113" s="106">
        <v>2977.23</v>
      </c>
      <c r="F113" s="14"/>
    </row>
    <row r="114" spans="1:6" ht="15" outlineLevel="2">
      <c r="A114" s="42"/>
      <c r="B114" s="83" t="s">
        <v>1280</v>
      </c>
      <c r="C114" s="83" t="s">
        <v>1587</v>
      </c>
      <c r="D114" s="83" t="s">
        <v>1279</v>
      </c>
      <c r="E114" s="106">
        <v>168.8</v>
      </c>
      <c r="F114" s="14"/>
    </row>
    <row r="115" spans="1:6" ht="15" outlineLevel="2">
      <c r="A115" s="42"/>
      <c r="B115" s="89" t="s">
        <v>1943</v>
      </c>
      <c r="C115" s="83" t="s">
        <v>1588</v>
      </c>
      <c r="D115" s="120" t="s">
        <v>1944</v>
      </c>
      <c r="E115" s="106">
        <v>128</v>
      </c>
      <c r="F115" s="14"/>
    </row>
    <row r="116" spans="1:5" ht="15.75" customHeight="1">
      <c r="A116" s="366" t="s">
        <v>1719</v>
      </c>
      <c r="B116" s="367"/>
      <c r="C116" s="367"/>
      <c r="D116" s="368"/>
      <c r="E116" s="105">
        <f>SUM(E117:E117)</f>
        <v>6084</v>
      </c>
    </row>
    <row r="117" spans="1:6" ht="30" outlineLevel="1">
      <c r="A117" s="42"/>
      <c r="B117" s="84" t="s">
        <v>1074</v>
      </c>
      <c r="C117" s="84" t="s">
        <v>1588</v>
      </c>
      <c r="D117" s="84" t="s">
        <v>1075</v>
      </c>
      <c r="E117" s="106">
        <v>6084</v>
      </c>
      <c r="F117" s="14"/>
    </row>
    <row r="118" spans="1:6" ht="12.75" customHeight="1" outlineLevel="1">
      <c r="A118" s="255" t="s">
        <v>0</v>
      </c>
      <c r="B118" s="256"/>
      <c r="C118" s="256"/>
      <c r="D118" s="257"/>
      <c r="E118" s="105">
        <f>0.1*5927.2*12</f>
        <v>7112.64</v>
      </c>
      <c r="F118" s="14"/>
    </row>
    <row r="119" spans="1:6" ht="12.75" customHeight="1" outlineLevel="1">
      <c r="A119" s="255" t="s">
        <v>1369</v>
      </c>
      <c r="B119" s="256"/>
      <c r="C119" s="256"/>
      <c r="D119" s="257"/>
      <c r="E119" s="105">
        <v>3166.66</v>
      </c>
      <c r="F119" s="14"/>
    </row>
    <row r="120" spans="1:6" ht="15">
      <c r="A120" s="42"/>
      <c r="B120" s="270" t="s">
        <v>59</v>
      </c>
      <c r="C120" s="270"/>
      <c r="D120" s="270"/>
      <c r="E120" s="43">
        <f>1.57*5927.2*12</f>
        <v>111668.448</v>
      </c>
      <c r="F120" s="14"/>
    </row>
    <row r="121" spans="1:6" ht="15">
      <c r="A121" s="42"/>
      <c r="B121" s="270" t="s">
        <v>256</v>
      </c>
      <c r="C121" s="270"/>
      <c r="D121" s="270"/>
      <c r="E121" s="43">
        <f>10.3*(E123+E124)/100</f>
        <v>149453.31312</v>
      </c>
      <c r="F121" s="14"/>
    </row>
    <row r="122" spans="1:5" ht="15">
      <c r="A122" s="42"/>
      <c r="B122" s="272" t="s">
        <v>659</v>
      </c>
      <c r="C122" s="272"/>
      <c r="D122" s="272"/>
      <c r="E122" s="44">
        <f>E121+E120+E10+E3</f>
        <v>920128.8751200002</v>
      </c>
    </row>
    <row r="123" spans="1:6" ht="15">
      <c r="A123" s="42"/>
      <c r="B123" s="270" t="s">
        <v>258</v>
      </c>
      <c r="C123" s="270"/>
      <c r="D123" s="270"/>
      <c r="E123" s="43">
        <v>1266071.28</v>
      </c>
      <c r="F123" s="14"/>
    </row>
    <row r="124" spans="1:5" ht="15">
      <c r="A124" s="42"/>
      <c r="B124" s="270" t="s">
        <v>259</v>
      </c>
      <c r="C124" s="270"/>
      <c r="D124" s="270"/>
      <c r="E124" s="43">
        <v>184931.76</v>
      </c>
    </row>
    <row r="125" spans="1:5" ht="15">
      <c r="A125" s="42"/>
      <c r="B125" s="270" t="s">
        <v>660</v>
      </c>
      <c r="C125" s="270"/>
      <c r="D125" s="270"/>
      <c r="E125" s="43">
        <v>3891015.22</v>
      </c>
    </row>
    <row r="126" spans="1:5" ht="15">
      <c r="A126" s="42"/>
      <c r="B126" s="270" t="s">
        <v>2340</v>
      </c>
      <c r="C126" s="270"/>
      <c r="D126" s="270"/>
      <c r="E126" s="43">
        <v>3507882.59</v>
      </c>
    </row>
    <row r="127" spans="1:5" ht="15">
      <c r="A127" s="42"/>
      <c r="B127" s="272" t="s">
        <v>2341</v>
      </c>
      <c r="C127" s="272"/>
      <c r="D127" s="272"/>
      <c r="E127" s="44">
        <f>'[5]Мира 36'!$E$139+E122</f>
        <v>3568052.1551200002</v>
      </c>
    </row>
    <row r="128" spans="1:5" ht="15">
      <c r="A128" s="42"/>
      <c r="B128" s="270" t="s">
        <v>732</v>
      </c>
      <c r="C128" s="270"/>
      <c r="D128" s="270"/>
      <c r="E128" s="43">
        <v>569253.8</v>
      </c>
    </row>
    <row r="129" spans="1:5" ht="15">
      <c r="A129" s="42"/>
      <c r="B129" s="270" t="s">
        <v>733</v>
      </c>
      <c r="C129" s="270"/>
      <c r="D129" s="270"/>
      <c r="E129" s="43">
        <v>513187.9</v>
      </c>
    </row>
    <row r="130" spans="1:5" ht="15">
      <c r="A130" s="42"/>
      <c r="B130" s="272" t="s">
        <v>734</v>
      </c>
      <c r="C130" s="272"/>
      <c r="D130" s="272"/>
      <c r="E130" s="44">
        <f>E133+'[5]Мира 34'!$E$116</f>
        <v>0</v>
      </c>
    </row>
    <row r="131" spans="1:5" ht="15">
      <c r="A131" s="42"/>
      <c r="B131" s="270" t="s">
        <v>260</v>
      </c>
      <c r="C131" s="270"/>
      <c r="D131" s="270"/>
      <c r="E131" s="43">
        <v>1181266.57</v>
      </c>
    </row>
    <row r="132" spans="1:5" ht="15">
      <c r="A132" s="42"/>
      <c r="B132" s="270" t="s">
        <v>735</v>
      </c>
      <c r="C132" s="270"/>
      <c r="D132" s="270"/>
      <c r="E132" s="43">
        <v>172544.55</v>
      </c>
    </row>
    <row r="133" spans="1:5" ht="15">
      <c r="A133" s="42"/>
      <c r="B133" s="272" t="s">
        <v>736</v>
      </c>
      <c r="C133" s="272"/>
      <c r="D133" s="272"/>
      <c r="E133" s="44">
        <v>0</v>
      </c>
    </row>
    <row r="134" spans="1:5" ht="18" customHeight="1">
      <c r="A134" s="42"/>
      <c r="B134" s="271" t="s">
        <v>737</v>
      </c>
      <c r="C134" s="271"/>
      <c r="D134" s="271"/>
      <c r="E134" s="45">
        <f>E125-E127</f>
        <v>322963.06487999996</v>
      </c>
    </row>
    <row r="135" spans="1:5" ht="15" customHeight="1">
      <c r="A135" s="42"/>
      <c r="B135" s="271" t="s">
        <v>738</v>
      </c>
      <c r="C135" s="271"/>
      <c r="D135" s="271"/>
      <c r="E135" s="45">
        <f>E128-E130</f>
        <v>569253.8</v>
      </c>
    </row>
    <row r="136" spans="1:5" ht="28.5" customHeight="1">
      <c r="A136" s="42"/>
      <c r="B136" s="271" t="s">
        <v>2273</v>
      </c>
      <c r="C136" s="271"/>
      <c r="D136" s="271"/>
      <c r="E136" s="45">
        <f>E126-E127</f>
        <v>-60169.56512000039</v>
      </c>
    </row>
    <row r="137" ht="12.75">
      <c r="E137" s="39"/>
    </row>
    <row r="138" spans="1:5" ht="102">
      <c r="A138" s="12" t="s">
        <v>492</v>
      </c>
      <c r="E138" s="39"/>
    </row>
    <row r="139" spans="1:5" ht="89.25">
      <c r="A139" s="12" t="s">
        <v>493</v>
      </c>
      <c r="E139" s="39"/>
    </row>
    <row r="140" spans="1:5" ht="216.75">
      <c r="A140" s="12" t="s">
        <v>494</v>
      </c>
      <c r="E140" s="39"/>
    </row>
    <row r="141" spans="1:5" ht="89.25">
      <c r="A141" s="12" t="s">
        <v>495</v>
      </c>
      <c r="E141" s="39"/>
    </row>
  </sheetData>
  <sheetProtection/>
  <mergeCells count="38">
    <mergeCell ref="A1:E1"/>
    <mergeCell ref="A4:D4"/>
    <mergeCell ref="A6:D6"/>
    <mergeCell ref="A8:D8"/>
    <mergeCell ref="A116:D116"/>
    <mergeCell ref="A118:D118"/>
    <mergeCell ref="B3:C3"/>
    <mergeCell ref="B10:C10"/>
    <mergeCell ref="A66:D66"/>
    <mergeCell ref="A79:D79"/>
    <mergeCell ref="A110:D110"/>
    <mergeCell ref="A91:D91"/>
    <mergeCell ref="B120:D120"/>
    <mergeCell ref="A11:D11"/>
    <mergeCell ref="A23:D23"/>
    <mergeCell ref="A32:D32"/>
    <mergeCell ref="A43:D43"/>
    <mergeCell ref="A80:D80"/>
    <mergeCell ref="A119:D119"/>
    <mergeCell ref="A58:D58"/>
    <mergeCell ref="A60:D60"/>
    <mergeCell ref="A94:D94"/>
    <mergeCell ref="B133:D133"/>
    <mergeCell ref="B126:D126"/>
    <mergeCell ref="B136:D136"/>
    <mergeCell ref="B128:D128"/>
    <mergeCell ref="B129:D129"/>
    <mergeCell ref="B130:D130"/>
    <mergeCell ref="B131:D131"/>
    <mergeCell ref="B134:D134"/>
    <mergeCell ref="B135:D135"/>
    <mergeCell ref="B132:D132"/>
    <mergeCell ref="B127:D127"/>
    <mergeCell ref="B122:D122"/>
    <mergeCell ref="B121:D121"/>
    <mergeCell ref="B124:D124"/>
    <mergeCell ref="B125:D125"/>
    <mergeCell ref="B123:D123"/>
  </mergeCells>
  <printOptions/>
  <pageMargins left="0.2755905511811024" right="0.2362204724409449" top="0.2755905511811024" bottom="0.2362204724409449" header="0.15748031496062992" footer="0.15748031496062992"/>
  <pageSetup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7"/>
  <sheetViews>
    <sheetView zoomScalePageLayoutView="0" workbookViewId="0" topLeftCell="A49">
      <selection activeCell="E112" sqref="A1:E112"/>
    </sheetView>
  </sheetViews>
  <sheetFormatPr defaultColWidth="13.421875" defaultRowHeight="12.75" outlineLevelRow="2"/>
  <cols>
    <col min="1" max="1" width="2.00390625" style="1" customWidth="1"/>
    <col min="2" max="2" width="14.57421875" style="1" customWidth="1"/>
    <col min="3" max="3" width="11.28125" style="1" customWidth="1"/>
    <col min="4" max="4" width="78.28125" style="1" customWidth="1"/>
    <col min="5" max="5" width="18.00390625" style="1" customWidth="1"/>
    <col min="6" max="7" width="11.421875" style="1" customWidth="1"/>
    <col min="8" max="97" width="12.421875" style="1" customWidth="1"/>
    <col min="98" max="16384" width="13.421875" style="1" customWidth="1"/>
  </cols>
  <sheetData>
    <row r="1" spans="1:5" ht="15.75" customHeight="1">
      <c r="A1" s="258" t="s">
        <v>2254</v>
      </c>
      <c r="B1" s="315"/>
      <c r="C1" s="315"/>
      <c r="D1" s="315"/>
      <c r="E1" s="316"/>
    </row>
    <row r="2" spans="1:5" ht="30">
      <c r="A2" s="42"/>
      <c r="B2" s="133" t="s">
        <v>1570</v>
      </c>
      <c r="C2" s="134" t="s">
        <v>1571</v>
      </c>
      <c r="D2" s="113" t="s">
        <v>1572</v>
      </c>
      <c r="E2" s="135" t="s">
        <v>1573</v>
      </c>
    </row>
    <row r="3" spans="1:5" ht="15">
      <c r="A3" s="91"/>
      <c r="B3" s="308"/>
      <c r="C3" s="308"/>
      <c r="D3" s="155" t="s">
        <v>1575</v>
      </c>
      <c r="E3" s="130">
        <f>E4+E7+E10+E12</f>
        <v>58227.352</v>
      </c>
    </row>
    <row r="4" spans="1:5" ht="15" outlineLevel="1">
      <c r="A4" s="255" t="s">
        <v>1576</v>
      </c>
      <c r="B4" s="256"/>
      <c r="C4" s="256"/>
      <c r="D4" s="257"/>
      <c r="E4" s="105">
        <f>E5+E6</f>
        <v>28847.97</v>
      </c>
    </row>
    <row r="5" spans="1:5" ht="15" outlineLevel="2">
      <c r="A5" s="81"/>
      <c r="B5" s="82" t="s">
        <v>2143</v>
      </c>
      <c r="C5" s="82" t="s">
        <v>1577</v>
      </c>
      <c r="D5" s="82" t="s">
        <v>1139</v>
      </c>
      <c r="E5" s="106">
        <v>11816</v>
      </c>
    </row>
    <row r="6" spans="1:5" ht="15" outlineLevel="2">
      <c r="A6" s="81"/>
      <c r="B6" s="84" t="s">
        <v>1140</v>
      </c>
      <c r="C6" s="84" t="s">
        <v>1582</v>
      </c>
      <c r="D6" s="84" t="s">
        <v>2396</v>
      </c>
      <c r="E6" s="106">
        <v>17031.97</v>
      </c>
    </row>
    <row r="7" spans="1:5" ht="15" outlineLevel="1">
      <c r="A7" s="255" t="s">
        <v>1589</v>
      </c>
      <c r="B7" s="256"/>
      <c r="C7" s="256"/>
      <c r="D7" s="257"/>
      <c r="E7" s="105">
        <f>E8+E9</f>
        <v>18351.252</v>
      </c>
    </row>
    <row r="8" spans="1:5" ht="15" outlineLevel="2">
      <c r="A8" s="81"/>
      <c r="B8" s="82" t="s">
        <v>2149</v>
      </c>
      <c r="C8" s="82" t="s">
        <v>1577</v>
      </c>
      <c r="D8" s="82" t="s">
        <v>2150</v>
      </c>
      <c r="E8" s="106">
        <v>46.032</v>
      </c>
    </row>
    <row r="9" spans="1:5" ht="15" outlineLevel="2">
      <c r="A9" s="81"/>
      <c r="B9" s="84" t="s">
        <v>2401</v>
      </c>
      <c r="C9" s="84" t="s">
        <v>1580</v>
      </c>
      <c r="D9" s="84" t="s">
        <v>1416</v>
      </c>
      <c r="E9" s="106">
        <v>18305.22</v>
      </c>
    </row>
    <row r="10" spans="1:5" ht="15" outlineLevel="1">
      <c r="A10" s="255" t="s">
        <v>1590</v>
      </c>
      <c r="B10" s="256"/>
      <c r="C10" s="256"/>
      <c r="D10" s="257"/>
      <c r="E10" s="105">
        <f>E11</f>
        <v>6554.13</v>
      </c>
    </row>
    <row r="11" spans="1:5" ht="15" outlineLevel="2">
      <c r="A11" s="81"/>
      <c r="B11" s="85" t="s">
        <v>1892</v>
      </c>
      <c r="C11" s="85" t="s">
        <v>1586</v>
      </c>
      <c r="D11" s="85" t="s">
        <v>1893</v>
      </c>
      <c r="E11" s="106">
        <v>6554.13</v>
      </c>
    </row>
    <row r="12" spans="1:5" ht="15" outlineLevel="1">
      <c r="A12" s="317" t="s">
        <v>1595</v>
      </c>
      <c r="B12" s="318"/>
      <c r="C12" s="318"/>
      <c r="D12" s="319"/>
      <c r="E12" s="105">
        <f>E13</f>
        <v>4474</v>
      </c>
    </row>
    <row r="13" spans="1:5" ht="15" outlineLevel="2">
      <c r="A13" s="81"/>
      <c r="B13" s="85" t="s">
        <v>472</v>
      </c>
      <c r="C13" s="85" t="s">
        <v>1578</v>
      </c>
      <c r="D13" s="85" t="s">
        <v>473</v>
      </c>
      <c r="E13" s="106">
        <v>4474</v>
      </c>
    </row>
    <row r="14" spans="1:5" ht="13.5" customHeight="1">
      <c r="A14" s="91"/>
      <c r="B14" s="308"/>
      <c r="C14" s="308"/>
      <c r="D14" s="155" t="s">
        <v>1600</v>
      </c>
      <c r="E14" s="156">
        <f>E15+E22+E32+E42+E46+E49+E53+E66+E67+E74+E77+E87</f>
        <v>442701.18799999997</v>
      </c>
    </row>
    <row r="15" spans="1:5" ht="15" outlineLevel="1">
      <c r="A15" s="255" t="s">
        <v>1576</v>
      </c>
      <c r="B15" s="256"/>
      <c r="C15" s="256"/>
      <c r="D15" s="257"/>
      <c r="E15" s="170">
        <f>E16+E17+E18+E19+E20+E21</f>
        <v>6724.740000000001</v>
      </c>
    </row>
    <row r="16" spans="1:5" ht="15" outlineLevel="2">
      <c r="A16" s="42"/>
      <c r="B16" s="82" t="s">
        <v>2181</v>
      </c>
      <c r="C16" s="82" t="s">
        <v>1579</v>
      </c>
      <c r="D16" s="82" t="s">
        <v>655</v>
      </c>
      <c r="E16" s="106">
        <v>1585.74</v>
      </c>
    </row>
    <row r="17" spans="1:5" ht="15" outlineLevel="2">
      <c r="A17" s="42"/>
      <c r="B17" s="83" t="s">
        <v>16</v>
      </c>
      <c r="C17" s="83" t="s">
        <v>1579</v>
      </c>
      <c r="D17" s="83" t="s">
        <v>1840</v>
      </c>
      <c r="E17" s="106">
        <v>257.11</v>
      </c>
    </row>
    <row r="18" spans="1:5" ht="15" outlineLevel="2">
      <c r="A18" s="42"/>
      <c r="B18" s="83" t="s">
        <v>2</v>
      </c>
      <c r="C18" s="83" t="s">
        <v>1580</v>
      </c>
      <c r="D18" s="83" t="s">
        <v>2277</v>
      </c>
      <c r="E18" s="106">
        <v>119.9</v>
      </c>
    </row>
    <row r="19" spans="1:5" ht="15" outlineLevel="2">
      <c r="A19" s="42"/>
      <c r="B19" s="83" t="s">
        <v>1489</v>
      </c>
      <c r="C19" s="83" t="s">
        <v>1580</v>
      </c>
      <c r="D19" s="83" t="s">
        <v>1623</v>
      </c>
      <c r="E19" s="106">
        <v>2287.43</v>
      </c>
    </row>
    <row r="20" spans="1:5" ht="27" customHeight="1" outlineLevel="2">
      <c r="A20" s="42"/>
      <c r="B20" s="83" t="s">
        <v>508</v>
      </c>
      <c r="C20" s="83" t="s">
        <v>1582</v>
      </c>
      <c r="D20" s="83" t="s">
        <v>509</v>
      </c>
      <c r="E20" s="106">
        <v>320.72</v>
      </c>
    </row>
    <row r="21" spans="1:5" ht="60.75" customHeight="1" outlineLevel="2">
      <c r="A21" s="42"/>
      <c r="B21" s="83" t="s">
        <v>714</v>
      </c>
      <c r="C21" s="83" t="s">
        <v>1583</v>
      </c>
      <c r="D21" s="83" t="s">
        <v>509</v>
      </c>
      <c r="E21" s="106">
        <v>2153.84</v>
      </c>
    </row>
    <row r="22" spans="1:5" ht="15" outlineLevel="1">
      <c r="A22" s="317" t="s">
        <v>1589</v>
      </c>
      <c r="B22" s="318"/>
      <c r="C22" s="318"/>
      <c r="D22" s="319"/>
      <c r="E22" s="105">
        <f>E23+E24+E25+E26+E27+E28+E29+E30+E31</f>
        <v>123727.91</v>
      </c>
    </row>
    <row r="23" spans="1:5" ht="15" outlineLevel="2">
      <c r="A23" s="42"/>
      <c r="B23" s="82" t="s">
        <v>2143</v>
      </c>
      <c r="C23" s="82" t="s">
        <v>1577</v>
      </c>
      <c r="D23" s="82" t="s">
        <v>653</v>
      </c>
      <c r="E23" s="106">
        <v>11816</v>
      </c>
    </row>
    <row r="24" spans="1:5" ht="15" outlineLevel="2">
      <c r="A24" s="42"/>
      <c r="B24" s="83" t="s">
        <v>1465</v>
      </c>
      <c r="C24" s="83" t="s">
        <v>1578</v>
      </c>
      <c r="D24" s="83" t="s">
        <v>1466</v>
      </c>
      <c r="E24" s="106">
        <v>12014</v>
      </c>
    </row>
    <row r="25" spans="1:5" ht="17.25" customHeight="1" outlineLevel="2">
      <c r="A25" s="42"/>
      <c r="B25" s="83" t="s">
        <v>8</v>
      </c>
      <c r="C25" s="83" t="s">
        <v>1578</v>
      </c>
      <c r="D25" s="83" t="s">
        <v>848</v>
      </c>
      <c r="E25" s="106">
        <v>164.13</v>
      </c>
    </row>
    <row r="26" spans="1:5" ht="15" outlineLevel="2">
      <c r="A26" s="42"/>
      <c r="B26" s="83" t="s">
        <v>2429</v>
      </c>
      <c r="C26" s="83" t="s">
        <v>1578</v>
      </c>
      <c r="D26" s="83" t="s">
        <v>654</v>
      </c>
      <c r="E26" s="106">
        <v>223.37</v>
      </c>
    </row>
    <row r="27" spans="1:5" ht="15" outlineLevel="2">
      <c r="A27" s="42"/>
      <c r="B27" s="83" t="s">
        <v>14</v>
      </c>
      <c r="C27" s="83" t="s">
        <v>1579</v>
      </c>
      <c r="D27" s="83" t="s">
        <v>2171</v>
      </c>
      <c r="E27" s="106">
        <v>323.9</v>
      </c>
    </row>
    <row r="28" spans="1:5" ht="15" outlineLevel="2">
      <c r="A28" s="42"/>
      <c r="B28" s="83" t="s">
        <v>182</v>
      </c>
      <c r="C28" s="83" t="s">
        <v>1580</v>
      </c>
      <c r="D28" s="83" t="s">
        <v>1432</v>
      </c>
      <c r="E28" s="106">
        <v>4205.51</v>
      </c>
    </row>
    <row r="29" spans="1:5" ht="15" outlineLevel="2">
      <c r="A29" s="42"/>
      <c r="B29" s="83" t="s">
        <v>291</v>
      </c>
      <c r="C29" s="83" t="s">
        <v>1581</v>
      </c>
      <c r="D29" s="83" t="s">
        <v>1231</v>
      </c>
      <c r="E29" s="106">
        <v>93333.58</v>
      </c>
    </row>
    <row r="30" spans="1:5" ht="15" outlineLevel="2">
      <c r="A30" s="42"/>
      <c r="B30" s="83" t="s">
        <v>1708</v>
      </c>
      <c r="C30" s="83" t="s">
        <v>1581</v>
      </c>
      <c r="D30" s="83" t="s">
        <v>2094</v>
      </c>
      <c r="E30" s="106">
        <v>741.42</v>
      </c>
    </row>
    <row r="31" spans="1:5" ht="15" outlineLevel="2">
      <c r="A31" s="42"/>
      <c r="B31" s="83" t="s">
        <v>586</v>
      </c>
      <c r="C31" s="83" t="s">
        <v>1585</v>
      </c>
      <c r="D31" s="83" t="s">
        <v>587</v>
      </c>
      <c r="E31" s="106">
        <v>906</v>
      </c>
    </row>
    <row r="32" spans="1:5" ht="15" outlineLevel="1">
      <c r="A32" s="255" t="s">
        <v>1590</v>
      </c>
      <c r="B32" s="256"/>
      <c r="C32" s="256"/>
      <c r="D32" s="257"/>
      <c r="E32" s="105">
        <f>E34+E33+E35+E36+E37+E38+E40+E41</f>
        <v>31317.079999999998</v>
      </c>
    </row>
    <row r="33" spans="1:5" ht="15" outlineLevel="2">
      <c r="A33" s="42"/>
      <c r="B33" s="88" t="s">
        <v>1465</v>
      </c>
      <c r="C33" s="82" t="s">
        <v>1578</v>
      </c>
      <c r="D33" s="82" t="s">
        <v>2131</v>
      </c>
      <c r="E33" s="106">
        <v>85.57</v>
      </c>
    </row>
    <row r="34" spans="1:5" ht="15" outlineLevel="2">
      <c r="A34" s="42"/>
      <c r="B34" s="87" t="s">
        <v>836</v>
      </c>
      <c r="C34" s="83" t="s">
        <v>1580</v>
      </c>
      <c r="D34" s="83" t="s">
        <v>1014</v>
      </c>
      <c r="E34" s="106">
        <v>7748.5</v>
      </c>
    </row>
    <row r="35" spans="1:5" ht="15" outlineLevel="2">
      <c r="A35" s="42"/>
      <c r="B35" s="87" t="s">
        <v>137</v>
      </c>
      <c r="C35" s="83" t="s">
        <v>1580</v>
      </c>
      <c r="D35" s="83" t="s">
        <v>1080</v>
      </c>
      <c r="E35" s="106">
        <v>1000.26</v>
      </c>
    </row>
    <row r="36" spans="1:5" ht="45" outlineLevel="2">
      <c r="A36" s="42"/>
      <c r="B36" s="87" t="s">
        <v>929</v>
      </c>
      <c r="C36" s="83" t="s">
        <v>1584</v>
      </c>
      <c r="D36" s="83" t="s">
        <v>760</v>
      </c>
      <c r="E36" s="106">
        <v>11255.4</v>
      </c>
    </row>
    <row r="37" spans="1:5" ht="15" outlineLevel="2">
      <c r="A37" s="42"/>
      <c r="B37" s="87" t="s">
        <v>1931</v>
      </c>
      <c r="C37" s="83" t="s">
        <v>1586</v>
      </c>
      <c r="D37" s="83" t="s">
        <v>1932</v>
      </c>
      <c r="E37" s="106">
        <v>2326</v>
      </c>
    </row>
    <row r="38" spans="1:5" ht="15" customHeight="1" outlineLevel="2">
      <c r="A38" s="42"/>
      <c r="B38" s="87" t="s">
        <v>192</v>
      </c>
      <c r="C38" s="83" t="s">
        <v>1586</v>
      </c>
      <c r="D38" s="83" t="s">
        <v>783</v>
      </c>
      <c r="E38" s="106">
        <v>2941.32</v>
      </c>
    </row>
    <row r="39" spans="1:5" ht="15" outlineLevel="2">
      <c r="A39" s="42"/>
      <c r="B39" s="87" t="s">
        <v>1603</v>
      </c>
      <c r="C39" s="83" t="s">
        <v>1587</v>
      </c>
      <c r="D39" s="83" t="s">
        <v>1602</v>
      </c>
      <c r="E39" s="106">
        <v>5914.5</v>
      </c>
    </row>
    <row r="40" spans="1:5" ht="15" outlineLevel="2">
      <c r="A40" s="42"/>
      <c r="B40" s="87" t="s">
        <v>1199</v>
      </c>
      <c r="C40" s="83" t="s">
        <v>1587</v>
      </c>
      <c r="D40" s="83" t="s">
        <v>1179</v>
      </c>
      <c r="E40" s="106">
        <v>45.53</v>
      </c>
    </row>
    <row r="41" spans="1:5" ht="12.75" customHeight="1" outlineLevel="2">
      <c r="A41" s="42"/>
      <c r="B41" s="87" t="s">
        <v>1603</v>
      </c>
      <c r="C41" s="83" t="s">
        <v>1587</v>
      </c>
      <c r="D41" s="83" t="s">
        <v>2294</v>
      </c>
      <c r="E41" s="106">
        <v>5914.5</v>
      </c>
    </row>
    <row r="42" spans="1:5" ht="15" outlineLevel="1">
      <c r="A42" s="255" t="s">
        <v>1591</v>
      </c>
      <c r="B42" s="256"/>
      <c r="C42" s="256"/>
      <c r="D42" s="257"/>
      <c r="E42" s="105">
        <f>E43+E44+E45</f>
        <v>5652.76</v>
      </c>
    </row>
    <row r="43" spans="1:5" ht="15" outlineLevel="2">
      <c r="A43" s="42"/>
      <c r="B43" s="88" t="s">
        <v>274</v>
      </c>
      <c r="C43" s="82" t="s">
        <v>1577</v>
      </c>
      <c r="D43" s="82" t="s">
        <v>2253</v>
      </c>
      <c r="E43" s="106">
        <v>3420.22</v>
      </c>
    </row>
    <row r="44" spans="1:5" ht="15" outlineLevel="2">
      <c r="A44" s="42"/>
      <c r="B44" s="87" t="s">
        <v>184</v>
      </c>
      <c r="C44" s="83" t="s">
        <v>1580</v>
      </c>
      <c r="D44" s="83" t="s">
        <v>684</v>
      </c>
      <c r="E44" s="106">
        <v>943.41</v>
      </c>
    </row>
    <row r="45" spans="1:5" ht="15" outlineLevel="2">
      <c r="A45" s="42"/>
      <c r="B45" s="87" t="s">
        <v>1056</v>
      </c>
      <c r="C45" s="83" t="s">
        <v>1582</v>
      </c>
      <c r="D45" s="83" t="s">
        <v>1055</v>
      </c>
      <c r="E45" s="106">
        <v>1289.13</v>
      </c>
    </row>
    <row r="46" spans="1:5" ht="15" outlineLevel="1">
      <c r="A46" s="255" t="s">
        <v>1594</v>
      </c>
      <c r="B46" s="256"/>
      <c r="C46" s="256"/>
      <c r="D46" s="257"/>
      <c r="E46" s="105">
        <f>E47+E48</f>
        <v>47170.1</v>
      </c>
    </row>
    <row r="47" spans="1:5" ht="15" outlineLevel="2">
      <c r="A47" s="42"/>
      <c r="B47" s="88" t="s">
        <v>1039</v>
      </c>
      <c r="C47" s="82" t="s">
        <v>1582</v>
      </c>
      <c r="D47" s="82" t="s">
        <v>1050</v>
      </c>
      <c r="E47" s="106">
        <v>4030.1</v>
      </c>
    </row>
    <row r="48" spans="1:5" ht="15" outlineLevel="2">
      <c r="A48" s="42"/>
      <c r="B48" s="87" t="s">
        <v>787</v>
      </c>
      <c r="C48" s="83" t="s">
        <v>1585</v>
      </c>
      <c r="D48" s="83" t="s">
        <v>1296</v>
      </c>
      <c r="E48" s="106">
        <v>43140</v>
      </c>
    </row>
    <row r="49" spans="1:5" ht="15" outlineLevel="1">
      <c r="A49" s="255" t="s">
        <v>1599</v>
      </c>
      <c r="B49" s="256"/>
      <c r="C49" s="256"/>
      <c r="D49" s="257"/>
      <c r="E49" s="105">
        <f>E50+E51+E52</f>
        <v>12461.02</v>
      </c>
    </row>
    <row r="50" spans="1:5" ht="15" outlineLevel="2">
      <c r="A50" s="42"/>
      <c r="B50" s="82" t="s">
        <v>2022</v>
      </c>
      <c r="C50" s="82" t="s">
        <v>1578</v>
      </c>
      <c r="D50" s="82" t="s">
        <v>1498</v>
      </c>
      <c r="E50" s="106">
        <v>11504.76</v>
      </c>
    </row>
    <row r="51" spans="1:5" ht="15" outlineLevel="2">
      <c r="A51" s="42"/>
      <c r="B51" s="83" t="s">
        <v>135</v>
      </c>
      <c r="C51" s="83" t="s">
        <v>1579</v>
      </c>
      <c r="D51" s="83" t="s">
        <v>2337</v>
      </c>
      <c r="E51" s="106">
        <v>650.94</v>
      </c>
    </row>
    <row r="52" spans="1:5" ht="15" outlineLevel="2">
      <c r="A52" s="42"/>
      <c r="B52" s="83" t="s">
        <v>1848</v>
      </c>
      <c r="C52" s="83" t="s">
        <v>1586</v>
      </c>
      <c r="D52" s="83" t="s">
        <v>391</v>
      </c>
      <c r="E52" s="106">
        <v>305.32</v>
      </c>
    </row>
    <row r="53" spans="1:5" ht="14.25" customHeight="1" outlineLevel="1">
      <c r="A53" s="255" t="s">
        <v>1713</v>
      </c>
      <c r="B53" s="256"/>
      <c r="C53" s="256"/>
      <c r="D53" s="257"/>
      <c r="E53" s="105">
        <f>E54+E55+E56+E57+E58+E59+E60+E61+E62+E63+E64+E65</f>
        <v>107993.08999999998</v>
      </c>
    </row>
    <row r="54" spans="1:5" ht="15" outlineLevel="2">
      <c r="A54" s="42"/>
      <c r="B54" s="82"/>
      <c r="C54" s="82" t="s">
        <v>1577</v>
      </c>
      <c r="D54" s="82" t="s">
        <v>1496</v>
      </c>
      <c r="E54" s="106">
        <v>9161.17</v>
      </c>
    </row>
    <row r="55" spans="1:5" ht="15" outlineLevel="2">
      <c r="A55" s="42"/>
      <c r="B55" s="83"/>
      <c r="C55" s="83" t="s">
        <v>1578</v>
      </c>
      <c r="D55" s="83" t="s">
        <v>1496</v>
      </c>
      <c r="E55" s="106">
        <v>9161.17</v>
      </c>
    </row>
    <row r="56" spans="1:5" ht="15" outlineLevel="2">
      <c r="A56" s="42"/>
      <c r="B56" s="83"/>
      <c r="C56" s="83" t="s">
        <v>1579</v>
      </c>
      <c r="D56" s="83" t="s">
        <v>1496</v>
      </c>
      <c r="E56" s="106">
        <v>9161.17</v>
      </c>
    </row>
    <row r="57" spans="1:5" ht="15" outlineLevel="2">
      <c r="A57" s="42"/>
      <c r="B57" s="83"/>
      <c r="C57" s="83" t="s">
        <v>1580</v>
      </c>
      <c r="D57" s="83" t="s">
        <v>1496</v>
      </c>
      <c r="E57" s="106">
        <v>9161.17</v>
      </c>
    </row>
    <row r="58" spans="1:5" ht="15" outlineLevel="2">
      <c r="A58" s="42"/>
      <c r="B58" s="83"/>
      <c r="C58" s="83" t="s">
        <v>1581</v>
      </c>
      <c r="D58" s="83" t="s">
        <v>1496</v>
      </c>
      <c r="E58" s="106">
        <v>8772.98</v>
      </c>
    </row>
    <row r="59" spans="1:5" ht="15" outlineLevel="2">
      <c r="A59" s="42"/>
      <c r="B59" s="83"/>
      <c r="C59" s="83" t="s">
        <v>1582</v>
      </c>
      <c r="D59" s="83" t="s">
        <v>1496</v>
      </c>
      <c r="E59" s="106">
        <v>8772.98</v>
      </c>
    </row>
    <row r="60" spans="1:5" ht="15" outlineLevel="2">
      <c r="A60" s="42"/>
      <c r="B60" s="83"/>
      <c r="C60" s="83" t="s">
        <v>1583</v>
      </c>
      <c r="D60" s="83" t="s">
        <v>1496</v>
      </c>
      <c r="E60" s="106">
        <v>8772.98</v>
      </c>
    </row>
    <row r="61" spans="1:5" ht="15" outlineLevel="2">
      <c r="A61" s="42"/>
      <c r="B61" s="83"/>
      <c r="C61" s="83" t="s">
        <v>1584</v>
      </c>
      <c r="D61" s="83" t="s">
        <v>1496</v>
      </c>
      <c r="E61" s="106">
        <v>8772.98</v>
      </c>
    </row>
    <row r="62" spans="1:5" ht="15" outlineLevel="2">
      <c r="A62" s="42"/>
      <c r="B62" s="83"/>
      <c r="C62" s="83" t="s">
        <v>1585</v>
      </c>
      <c r="D62" s="83" t="s">
        <v>1496</v>
      </c>
      <c r="E62" s="106">
        <v>8772.98</v>
      </c>
    </row>
    <row r="63" spans="1:5" ht="15" outlineLevel="2">
      <c r="A63" s="42"/>
      <c r="B63" s="83"/>
      <c r="C63" s="83" t="s">
        <v>1586</v>
      </c>
      <c r="D63" s="83" t="s">
        <v>1496</v>
      </c>
      <c r="E63" s="106">
        <v>9161.17</v>
      </c>
    </row>
    <row r="64" spans="1:5" ht="15" outlineLevel="2">
      <c r="A64" s="42"/>
      <c r="B64" s="83"/>
      <c r="C64" s="83" t="s">
        <v>1587</v>
      </c>
      <c r="D64" s="83" t="s">
        <v>1496</v>
      </c>
      <c r="E64" s="106">
        <v>9161.17</v>
      </c>
    </row>
    <row r="65" spans="1:5" ht="15" outlineLevel="2">
      <c r="A65" s="42"/>
      <c r="B65" s="89"/>
      <c r="C65" s="83" t="s">
        <v>1588</v>
      </c>
      <c r="D65" s="83" t="s">
        <v>1496</v>
      </c>
      <c r="E65" s="106">
        <v>9161.17</v>
      </c>
    </row>
    <row r="66" spans="1:5" ht="15" outlineLevel="1">
      <c r="A66" s="255" t="s">
        <v>1714</v>
      </c>
      <c r="B66" s="256"/>
      <c r="C66" s="256"/>
      <c r="D66" s="257"/>
      <c r="E66" s="105">
        <f>1.46*2587.9*12</f>
        <v>45340.008</v>
      </c>
    </row>
    <row r="67" spans="1:5" ht="15" outlineLevel="1">
      <c r="A67" s="255" t="s">
        <v>1715</v>
      </c>
      <c r="B67" s="256"/>
      <c r="C67" s="256"/>
      <c r="D67" s="257"/>
      <c r="E67" s="105">
        <f>E68+E69+E71+E70+E72+E73</f>
        <v>6459.739999999999</v>
      </c>
    </row>
    <row r="68" spans="1:5" ht="15" outlineLevel="2">
      <c r="A68" s="42"/>
      <c r="B68" s="82" t="s">
        <v>66</v>
      </c>
      <c r="C68" s="82" t="s">
        <v>1577</v>
      </c>
      <c r="D68" s="82" t="s">
        <v>2179</v>
      </c>
      <c r="E68" s="106">
        <v>2164</v>
      </c>
    </row>
    <row r="69" spans="1:5" ht="15" outlineLevel="2">
      <c r="A69" s="42"/>
      <c r="B69" s="83" t="s">
        <v>2</v>
      </c>
      <c r="C69" s="83" t="s">
        <v>1579</v>
      </c>
      <c r="D69" s="83" t="s">
        <v>1495</v>
      </c>
      <c r="E69" s="106">
        <v>212.16</v>
      </c>
    </row>
    <row r="70" spans="1:5" ht="15" outlineLevel="2">
      <c r="A70" s="42"/>
      <c r="B70" s="83" t="s">
        <v>1378</v>
      </c>
      <c r="C70" s="83" t="s">
        <v>1583</v>
      </c>
      <c r="D70" s="83" t="s">
        <v>110</v>
      </c>
      <c r="E70" s="106">
        <v>2815.6</v>
      </c>
    </row>
    <row r="71" spans="1:5" ht="75.75" customHeight="1" outlineLevel="2">
      <c r="A71" s="42"/>
      <c r="B71" s="83" t="s">
        <v>1271</v>
      </c>
      <c r="C71" s="83" t="s">
        <v>1584</v>
      </c>
      <c r="D71" s="83" t="s">
        <v>762</v>
      </c>
      <c r="E71" s="106">
        <v>621.47</v>
      </c>
    </row>
    <row r="72" spans="1:5" ht="15" outlineLevel="2">
      <c r="A72" s="42"/>
      <c r="B72" s="83" t="s">
        <v>206</v>
      </c>
      <c r="C72" s="83" t="s">
        <v>1587</v>
      </c>
      <c r="D72" s="83" t="s">
        <v>207</v>
      </c>
      <c r="E72" s="106">
        <v>278.4</v>
      </c>
    </row>
    <row r="73" spans="1:5" ht="15" outlineLevel="2">
      <c r="A73" s="42"/>
      <c r="B73" s="83" t="s">
        <v>1958</v>
      </c>
      <c r="C73" s="83" t="s">
        <v>1588</v>
      </c>
      <c r="D73" s="83" t="s">
        <v>1960</v>
      </c>
      <c r="E73" s="106">
        <v>368.11</v>
      </c>
    </row>
    <row r="74" spans="1:5" ht="15" outlineLevel="1">
      <c r="A74" s="255" t="s">
        <v>1716</v>
      </c>
      <c r="B74" s="256"/>
      <c r="C74" s="256"/>
      <c r="D74" s="257"/>
      <c r="E74" s="105">
        <f>E75+E76</f>
        <v>2577.45</v>
      </c>
    </row>
    <row r="75" spans="1:5" ht="15" outlineLevel="2">
      <c r="A75" s="42"/>
      <c r="B75" s="82" t="s">
        <v>2</v>
      </c>
      <c r="C75" s="82" t="s">
        <v>1577</v>
      </c>
      <c r="D75" s="82" t="s">
        <v>2276</v>
      </c>
      <c r="E75" s="106">
        <v>45.75</v>
      </c>
    </row>
    <row r="76" spans="1:5" ht="15" outlineLevel="2">
      <c r="A76" s="42"/>
      <c r="B76" s="83" t="s">
        <v>55</v>
      </c>
      <c r="C76" s="83" t="s">
        <v>1584</v>
      </c>
      <c r="D76" s="83" t="s">
        <v>933</v>
      </c>
      <c r="E76" s="106">
        <v>2531.7</v>
      </c>
    </row>
    <row r="77" spans="1:5" ht="15" outlineLevel="1">
      <c r="A77" s="255" t="s">
        <v>1595</v>
      </c>
      <c r="B77" s="256"/>
      <c r="C77" s="256"/>
      <c r="D77" s="257"/>
      <c r="E77" s="105">
        <f>E78+E79+E80+E81+E82+E83+E84+E85+E86</f>
        <v>24236.239999999998</v>
      </c>
    </row>
    <row r="78" spans="1:5" ht="15" outlineLevel="2">
      <c r="A78" s="42"/>
      <c r="B78" s="82" t="s">
        <v>2008</v>
      </c>
      <c r="C78" s="82" t="s">
        <v>1577</v>
      </c>
      <c r="D78" s="82" t="s">
        <v>2065</v>
      </c>
      <c r="E78" s="106">
        <v>44.4</v>
      </c>
    </row>
    <row r="79" spans="1:5" ht="15" outlineLevel="2">
      <c r="A79" s="42"/>
      <c r="B79" s="83" t="s">
        <v>421</v>
      </c>
      <c r="C79" s="83" t="s">
        <v>1579</v>
      </c>
      <c r="D79" s="83" t="s">
        <v>422</v>
      </c>
      <c r="E79" s="106">
        <v>8231.9</v>
      </c>
    </row>
    <row r="80" spans="1:5" ht="15" outlineLevel="2">
      <c r="A80" s="42"/>
      <c r="B80" s="83" t="s">
        <v>228</v>
      </c>
      <c r="C80" s="83" t="s">
        <v>1581</v>
      </c>
      <c r="D80" s="83" t="s">
        <v>1092</v>
      </c>
      <c r="E80" s="106">
        <v>6077</v>
      </c>
    </row>
    <row r="81" spans="1:5" ht="15" outlineLevel="2">
      <c r="A81" s="42"/>
      <c r="B81" s="83" t="s">
        <v>312</v>
      </c>
      <c r="C81" s="83" t="s">
        <v>1583</v>
      </c>
      <c r="D81" s="83" t="s">
        <v>902</v>
      </c>
      <c r="E81" s="106">
        <v>220.27</v>
      </c>
    </row>
    <row r="82" spans="1:5" ht="15" outlineLevel="2">
      <c r="A82" s="42"/>
      <c r="B82" s="83" t="s">
        <v>43</v>
      </c>
      <c r="C82" s="83" t="s">
        <v>1583</v>
      </c>
      <c r="D82" s="83" t="s">
        <v>250</v>
      </c>
      <c r="E82" s="106">
        <v>4.64</v>
      </c>
    </row>
    <row r="83" spans="1:5" ht="15" outlineLevel="2">
      <c r="A83" s="42"/>
      <c r="B83" s="83" t="s">
        <v>2430</v>
      </c>
      <c r="C83" s="83" t="s">
        <v>1585</v>
      </c>
      <c r="D83" s="83" t="s">
        <v>2431</v>
      </c>
      <c r="E83" s="106">
        <v>351</v>
      </c>
    </row>
    <row r="84" spans="1:5" ht="15" outlineLevel="2">
      <c r="A84" s="42"/>
      <c r="B84" s="83" t="s">
        <v>2480</v>
      </c>
      <c r="C84" s="83" t="s">
        <v>1585</v>
      </c>
      <c r="D84" s="83" t="s">
        <v>2481</v>
      </c>
      <c r="E84" s="106">
        <v>6121</v>
      </c>
    </row>
    <row r="85" spans="1:5" ht="15" outlineLevel="2">
      <c r="A85" s="42"/>
      <c r="B85" s="83" t="s">
        <v>2382</v>
      </c>
      <c r="C85" s="83" t="s">
        <v>1586</v>
      </c>
      <c r="D85" s="83" t="s">
        <v>2381</v>
      </c>
      <c r="E85" s="106">
        <v>3138.03</v>
      </c>
    </row>
    <row r="86" spans="1:5" ht="15" outlineLevel="2">
      <c r="A86" s="42"/>
      <c r="B86" s="83" t="s">
        <v>5</v>
      </c>
      <c r="C86" s="83" t="s">
        <v>1588</v>
      </c>
      <c r="D86" s="83" t="s">
        <v>2151</v>
      </c>
      <c r="E86" s="106">
        <v>48</v>
      </c>
    </row>
    <row r="87" spans="1:5" ht="15" outlineLevel="1">
      <c r="A87" s="255" t="s">
        <v>1718</v>
      </c>
      <c r="B87" s="256"/>
      <c r="C87" s="256"/>
      <c r="D87" s="257"/>
      <c r="E87" s="105">
        <f>E88+E89+E90+E91+E92+E93</f>
        <v>29041.050000000003</v>
      </c>
    </row>
    <row r="88" spans="1:5" ht="15" outlineLevel="2">
      <c r="A88" s="42"/>
      <c r="B88" s="82" t="s">
        <v>229</v>
      </c>
      <c r="C88" s="82" t="s">
        <v>1581</v>
      </c>
      <c r="D88" s="82" t="s">
        <v>2059</v>
      </c>
      <c r="E88" s="106">
        <v>22102</v>
      </c>
    </row>
    <row r="89" spans="1:5" ht="15" outlineLevel="2">
      <c r="A89" s="42"/>
      <c r="B89" s="83" t="s">
        <v>2</v>
      </c>
      <c r="C89" s="83" t="s">
        <v>57</v>
      </c>
      <c r="D89" s="83" t="s">
        <v>721</v>
      </c>
      <c r="E89" s="106">
        <v>120.73</v>
      </c>
    </row>
    <row r="90" spans="1:5" ht="15" outlineLevel="2">
      <c r="A90" s="42"/>
      <c r="B90" s="83" t="s">
        <v>2</v>
      </c>
      <c r="C90" s="83" t="s">
        <v>1581</v>
      </c>
      <c r="D90" s="83" t="s">
        <v>2390</v>
      </c>
      <c r="E90" s="106">
        <v>1299.9</v>
      </c>
    </row>
    <row r="91" spans="1:5" ht="15" outlineLevel="2">
      <c r="A91" s="42"/>
      <c r="B91" s="83" t="s">
        <v>2</v>
      </c>
      <c r="C91" s="83" t="s">
        <v>57</v>
      </c>
      <c r="D91" s="83" t="s">
        <v>936</v>
      </c>
      <c r="E91" s="106">
        <v>134.4</v>
      </c>
    </row>
    <row r="92" spans="1:5" ht="15" outlineLevel="2">
      <c r="A92" s="42"/>
      <c r="B92" s="83" t="s">
        <v>772</v>
      </c>
      <c r="C92" s="83" t="s">
        <v>1587</v>
      </c>
      <c r="D92" s="83" t="s">
        <v>773</v>
      </c>
      <c r="E92" s="106">
        <v>2247.02</v>
      </c>
    </row>
    <row r="93" spans="1:5" ht="29.25" customHeight="1" outlineLevel="2">
      <c r="A93" s="42"/>
      <c r="B93" s="137" t="s">
        <v>209</v>
      </c>
      <c r="C93" s="84" t="s">
        <v>1588</v>
      </c>
      <c r="D93" s="138" t="s">
        <v>2293</v>
      </c>
      <c r="E93" s="106">
        <v>3137</v>
      </c>
    </row>
    <row r="94" spans="1:5" ht="12.75" customHeight="1" outlineLevel="2">
      <c r="A94" s="255" t="s">
        <v>1369</v>
      </c>
      <c r="B94" s="256"/>
      <c r="C94" s="256"/>
      <c r="D94" s="257"/>
      <c r="E94" s="105">
        <v>3166.66</v>
      </c>
    </row>
    <row r="95" spans="1:5" ht="12.75" customHeight="1">
      <c r="A95" s="255" t="s">
        <v>0</v>
      </c>
      <c r="B95" s="256"/>
      <c r="C95" s="256"/>
      <c r="D95" s="257"/>
      <c r="E95" s="105">
        <f>0.1*2587.9*12</f>
        <v>3105.4800000000005</v>
      </c>
    </row>
    <row r="96" spans="1:5" ht="15">
      <c r="A96" s="42"/>
      <c r="B96" s="270" t="s">
        <v>59</v>
      </c>
      <c r="C96" s="270"/>
      <c r="D96" s="270"/>
      <c r="E96" s="43">
        <f>1.57*2487.9*12</f>
        <v>46872.036</v>
      </c>
    </row>
    <row r="97" spans="1:5" ht="15">
      <c r="A97" s="42"/>
      <c r="B97" s="270" t="s">
        <v>256</v>
      </c>
      <c r="C97" s="270"/>
      <c r="D97" s="270"/>
      <c r="E97" s="43">
        <f>10.3*(E99+E100)/100</f>
        <v>65252.34576</v>
      </c>
    </row>
    <row r="98" spans="1:5" ht="15">
      <c r="A98" s="42"/>
      <c r="B98" s="272" t="s">
        <v>659</v>
      </c>
      <c r="C98" s="272"/>
      <c r="D98" s="272"/>
      <c r="E98" s="44">
        <f>E97+E96+E14+E3</f>
        <v>613052.9217599999</v>
      </c>
    </row>
    <row r="99" spans="1:5" ht="15">
      <c r="A99" s="42"/>
      <c r="B99" s="270" t="s">
        <v>258</v>
      </c>
      <c r="C99" s="270"/>
      <c r="D99" s="270"/>
      <c r="E99" s="43">
        <v>552775.44</v>
      </c>
    </row>
    <row r="100" spans="1:5" ht="15">
      <c r="A100" s="42"/>
      <c r="B100" s="270" t="s">
        <v>259</v>
      </c>
      <c r="C100" s="270"/>
      <c r="D100" s="270"/>
      <c r="E100" s="43">
        <v>80742.48</v>
      </c>
    </row>
    <row r="101" spans="1:5" ht="15">
      <c r="A101" s="42"/>
      <c r="B101" s="270" t="s">
        <v>660</v>
      </c>
      <c r="C101" s="270"/>
      <c r="D101" s="270"/>
      <c r="E101" s="43">
        <v>1704805.49</v>
      </c>
    </row>
    <row r="102" spans="1:5" ht="15">
      <c r="A102" s="42"/>
      <c r="B102" s="270" t="s">
        <v>2340</v>
      </c>
      <c r="C102" s="270"/>
      <c r="D102" s="270"/>
      <c r="E102" s="43">
        <v>1490184.17</v>
      </c>
    </row>
    <row r="103" spans="1:5" ht="15">
      <c r="A103" s="42"/>
      <c r="B103" s="272" t="s">
        <v>2341</v>
      </c>
      <c r="C103" s="272"/>
      <c r="D103" s="272"/>
      <c r="E103" s="44">
        <f>E98+'[5]Лесная 12'!$E$103</f>
        <v>1926861.8617599998</v>
      </c>
    </row>
    <row r="104" spans="1:5" ht="15">
      <c r="A104" s="42"/>
      <c r="B104" s="270" t="s">
        <v>732</v>
      </c>
      <c r="C104" s="270"/>
      <c r="D104" s="270"/>
      <c r="E104" s="43">
        <v>248615.2</v>
      </c>
    </row>
    <row r="105" spans="1:5" ht="15">
      <c r="A105" s="42"/>
      <c r="B105" s="270" t="s">
        <v>733</v>
      </c>
      <c r="C105" s="270"/>
      <c r="D105" s="270"/>
      <c r="E105" s="43">
        <v>217321.5</v>
      </c>
    </row>
    <row r="106" spans="1:5" ht="15">
      <c r="A106" s="42"/>
      <c r="B106" s="272" t="s">
        <v>734</v>
      </c>
      <c r="C106" s="272"/>
      <c r="D106" s="272"/>
      <c r="E106" s="44">
        <f>E109+'[5]Мира 34'!$E$116</f>
        <v>0</v>
      </c>
    </row>
    <row r="107" spans="1:5" ht="15">
      <c r="A107" s="42"/>
      <c r="B107" s="270" t="s">
        <v>260</v>
      </c>
      <c r="C107" s="270"/>
      <c r="D107" s="270"/>
      <c r="E107" s="43">
        <v>497275.27</v>
      </c>
    </row>
    <row r="108" spans="1:5" ht="15">
      <c r="A108" s="42"/>
      <c r="B108" s="270" t="s">
        <v>735</v>
      </c>
      <c r="C108" s="270"/>
      <c r="D108" s="270"/>
      <c r="E108" s="43">
        <v>72635.71</v>
      </c>
    </row>
    <row r="109" spans="1:5" ht="15">
      <c r="A109" s="42"/>
      <c r="B109" s="272" t="s">
        <v>736</v>
      </c>
      <c r="C109" s="272"/>
      <c r="D109" s="272"/>
      <c r="E109" s="44">
        <v>0</v>
      </c>
    </row>
    <row r="110" spans="1:5" ht="20.25" customHeight="1">
      <c r="A110" s="42"/>
      <c r="B110" s="271" t="s">
        <v>2271</v>
      </c>
      <c r="C110" s="271"/>
      <c r="D110" s="271"/>
      <c r="E110" s="45">
        <f>E101-E103</f>
        <v>-222056.37175999978</v>
      </c>
    </row>
    <row r="111" spans="1:5" ht="16.5" customHeight="1">
      <c r="A111" s="42"/>
      <c r="B111" s="271" t="s">
        <v>738</v>
      </c>
      <c r="C111" s="271"/>
      <c r="D111" s="271"/>
      <c r="E111" s="45">
        <f>E104-E106</f>
        <v>248615.2</v>
      </c>
    </row>
    <row r="112" spans="1:5" ht="27" customHeight="1">
      <c r="A112" s="42"/>
      <c r="B112" s="271" t="s">
        <v>2273</v>
      </c>
      <c r="C112" s="271"/>
      <c r="D112" s="271"/>
      <c r="E112" s="45">
        <f>E102-E103</f>
        <v>-436677.69175999984</v>
      </c>
    </row>
    <row r="113" ht="12.75">
      <c r="E113" s="39"/>
    </row>
    <row r="114" spans="1:5" ht="102">
      <c r="A114" s="12" t="s">
        <v>492</v>
      </c>
      <c r="E114" s="39"/>
    </row>
    <row r="115" spans="1:5" ht="89.25">
      <c r="A115" s="12" t="s">
        <v>493</v>
      </c>
      <c r="E115" s="39"/>
    </row>
    <row r="116" spans="1:5" ht="216.75">
      <c r="A116" s="12" t="s">
        <v>494</v>
      </c>
      <c r="E116" s="39"/>
    </row>
    <row r="117" spans="1:5" ht="89.25">
      <c r="A117" s="12" t="s">
        <v>495</v>
      </c>
      <c r="E117" s="39"/>
    </row>
  </sheetData>
  <sheetProtection/>
  <mergeCells count="38">
    <mergeCell ref="B109:D109"/>
    <mergeCell ref="B99:D99"/>
    <mergeCell ref="B111:D111"/>
    <mergeCell ref="B103:D103"/>
    <mergeCell ref="B98:D98"/>
    <mergeCell ref="B112:D112"/>
    <mergeCell ref="B104:D104"/>
    <mergeCell ref="B105:D105"/>
    <mergeCell ref="B106:D106"/>
    <mergeCell ref="B107:D107"/>
    <mergeCell ref="B110:D110"/>
    <mergeCell ref="A95:D95"/>
    <mergeCell ref="A94:D94"/>
    <mergeCell ref="A77:D77"/>
    <mergeCell ref="A87:D87"/>
    <mergeCell ref="A53:D53"/>
    <mergeCell ref="B108:D108"/>
    <mergeCell ref="B97:D97"/>
    <mergeCell ref="B100:D100"/>
    <mergeCell ref="B102:D102"/>
    <mergeCell ref="B101:D101"/>
    <mergeCell ref="A1:E1"/>
    <mergeCell ref="A4:D4"/>
    <mergeCell ref="A7:D7"/>
    <mergeCell ref="A10:D10"/>
    <mergeCell ref="B3:C3"/>
    <mergeCell ref="B96:D96"/>
    <mergeCell ref="A15:D15"/>
    <mergeCell ref="A22:D22"/>
    <mergeCell ref="A32:D32"/>
    <mergeCell ref="A42:D42"/>
    <mergeCell ref="A12:D12"/>
    <mergeCell ref="A66:D66"/>
    <mergeCell ref="A67:D67"/>
    <mergeCell ref="A74:D74"/>
    <mergeCell ref="A46:D46"/>
    <mergeCell ref="A49:D49"/>
    <mergeCell ref="B14:C14"/>
  </mergeCells>
  <printOptions/>
  <pageMargins left="0.4330708661417323" right="0.15748031496062992" top="0.3937007874015748" bottom="0.31" header="0.1968503937007874" footer="0.3"/>
  <pageSetup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zoomScalePageLayoutView="0" workbookViewId="0" topLeftCell="A107">
      <selection activeCell="E129" sqref="A1:E129"/>
    </sheetView>
  </sheetViews>
  <sheetFormatPr defaultColWidth="13.421875" defaultRowHeight="12.75" outlineLevelRow="2"/>
  <cols>
    <col min="1" max="1" width="1.57421875" style="1" customWidth="1"/>
    <col min="2" max="2" width="14.28125" style="1" customWidth="1"/>
    <col min="3" max="3" width="13.00390625" style="1" customWidth="1"/>
    <col min="4" max="4" width="79.00390625" style="1" customWidth="1"/>
    <col min="5" max="5" width="15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258" t="s">
        <v>2255</v>
      </c>
      <c r="B1" s="315"/>
      <c r="C1" s="315"/>
      <c r="D1" s="315"/>
      <c r="E1" s="316"/>
    </row>
    <row r="2" spans="1:6" ht="30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E4+E6+E8+E11+E16+E18+E21</f>
        <v>183762.99</v>
      </c>
    </row>
    <row r="4" spans="1:5" ht="13.5" customHeight="1" outlineLevel="1">
      <c r="A4" s="255" t="s">
        <v>1589</v>
      </c>
      <c r="B4" s="256"/>
      <c r="C4" s="256"/>
      <c r="D4" s="257"/>
      <c r="E4" s="105">
        <f>SUM(E5:E5)</f>
        <v>29210</v>
      </c>
    </row>
    <row r="5" spans="1:6" ht="15" outlineLevel="2">
      <c r="A5" s="81"/>
      <c r="B5" s="83" t="s">
        <v>780</v>
      </c>
      <c r="C5" s="83" t="s">
        <v>1587</v>
      </c>
      <c r="D5" s="83" t="s">
        <v>781</v>
      </c>
      <c r="E5" s="106">
        <v>29210</v>
      </c>
      <c r="F5" s="14"/>
    </row>
    <row r="6" spans="1:5" ht="14.25" customHeight="1" outlineLevel="1">
      <c r="A6" s="255" t="s">
        <v>1590</v>
      </c>
      <c r="B6" s="256"/>
      <c r="C6" s="256"/>
      <c r="D6" s="257"/>
      <c r="E6" s="105">
        <f>SUM(E7:E7)</f>
        <v>43817</v>
      </c>
    </row>
    <row r="7" spans="1:6" ht="15" outlineLevel="2">
      <c r="A7" s="81"/>
      <c r="B7" s="84" t="s">
        <v>1697</v>
      </c>
      <c r="C7" s="84" t="s">
        <v>1583</v>
      </c>
      <c r="D7" s="84" t="s">
        <v>1163</v>
      </c>
      <c r="E7" s="106">
        <v>43817</v>
      </c>
      <c r="F7" s="14"/>
    </row>
    <row r="8" spans="1:5" ht="13.5" customHeight="1" outlineLevel="1">
      <c r="A8" s="255" t="s">
        <v>1594</v>
      </c>
      <c r="B8" s="256"/>
      <c r="C8" s="256"/>
      <c r="D8" s="257"/>
      <c r="E8" s="105">
        <f>SUM(E9:E10)</f>
        <v>39652</v>
      </c>
    </row>
    <row r="9" spans="1:6" ht="15" outlineLevel="2">
      <c r="A9" s="81"/>
      <c r="B9" s="83" t="s">
        <v>253</v>
      </c>
      <c r="C9" s="83" t="s">
        <v>1583</v>
      </c>
      <c r="D9" s="83" t="s">
        <v>1379</v>
      </c>
      <c r="E9" s="106">
        <v>22533</v>
      </c>
      <c r="F9" s="14"/>
    </row>
    <row r="10" spans="1:6" ht="15.75" customHeight="1" outlineLevel="2">
      <c r="A10" s="81"/>
      <c r="B10" s="84" t="s">
        <v>1907</v>
      </c>
      <c r="C10" s="84" t="s">
        <v>1587</v>
      </c>
      <c r="D10" s="84" t="s">
        <v>1911</v>
      </c>
      <c r="E10" s="106">
        <v>17119</v>
      </c>
      <c r="F10" s="14"/>
    </row>
    <row r="11" spans="1:5" ht="13.5" customHeight="1" outlineLevel="1">
      <c r="A11" s="255" t="s">
        <v>1595</v>
      </c>
      <c r="B11" s="256"/>
      <c r="C11" s="256"/>
      <c r="D11" s="257"/>
      <c r="E11" s="105">
        <f>SUM(E12:E15)</f>
        <v>15875.890000000001</v>
      </c>
    </row>
    <row r="12" spans="1:6" ht="15" outlineLevel="2">
      <c r="A12" s="81"/>
      <c r="B12" s="303" t="s">
        <v>282</v>
      </c>
      <c r="C12" s="304"/>
      <c r="D12" s="305"/>
      <c r="E12" s="106">
        <v>1200</v>
      </c>
      <c r="F12" s="14"/>
    </row>
    <row r="13" spans="1:6" ht="15" outlineLevel="2">
      <c r="A13" s="81"/>
      <c r="B13" s="83" t="s">
        <v>877</v>
      </c>
      <c r="C13" s="83" t="s">
        <v>1579</v>
      </c>
      <c r="D13" s="83" t="s">
        <v>2348</v>
      </c>
      <c r="E13" s="106">
        <v>4240.53</v>
      </c>
      <c r="F13" s="14"/>
    </row>
    <row r="14" spans="1:6" ht="15" outlineLevel="2">
      <c r="A14" s="81"/>
      <c r="B14" s="83" t="s">
        <v>1693</v>
      </c>
      <c r="C14" s="83" t="s">
        <v>1582</v>
      </c>
      <c r="D14" s="83" t="s">
        <v>1092</v>
      </c>
      <c r="E14" s="106">
        <v>5008.1</v>
      </c>
      <c r="F14" s="14"/>
    </row>
    <row r="15" spans="1:6" ht="15" outlineLevel="2">
      <c r="A15" s="81"/>
      <c r="B15" s="84" t="s">
        <v>1685</v>
      </c>
      <c r="C15" s="84" t="s">
        <v>1582</v>
      </c>
      <c r="D15" s="84" t="s">
        <v>1092</v>
      </c>
      <c r="E15" s="106">
        <v>5427.26</v>
      </c>
      <c r="F15" s="14"/>
    </row>
    <row r="16" spans="1:5" ht="15" customHeight="1" outlineLevel="1">
      <c r="A16" s="255" t="s">
        <v>1597</v>
      </c>
      <c r="B16" s="256"/>
      <c r="C16" s="256"/>
      <c r="D16" s="257"/>
      <c r="E16" s="105">
        <f>SUM(E17:E17)</f>
        <v>45086.39</v>
      </c>
    </row>
    <row r="17" spans="1:6" ht="15" outlineLevel="2">
      <c r="A17" s="81"/>
      <c r="B17" s="84" t="s">
        <v>251</v>
      </c>
      <c r="C17" s="84" t="s">
        <v>1583</v>
      </c>
      <c r="D17" s="84" t="s">
        <v>1170</v>
      </c>
      <c r="E17" s="106">
        <v>45086.39</v>
      </c>
      <c r="F17" s="14"/>
    </row>
    <row r="18" spans="1:5" ht="15" customHeight="1" outlineLevel="1">
      <c r="A18" s="255" t="s">
        <v>1598</v>
      </c>
      <c r="B18" s="256"/>
      <c r="C18" s="256"/>
      <c r="D18" s="257"/>
      <c r="E18" s="105">
        <f>SUM(E19:E20)</f>
        <v>4795.18</v>
      </c>
    </row>
    <row r="19" spans="1:6" ht="29.25" customHeight="1" outlineLevel="2">
      <c r="A19" s="81"/>
      <c r="B19" s="83" t="s">
        <v>242</v>
      </c>
      <c r="C19" s="83" t="s">
        <v>1579</v>
      </c>
      <c r="D19" s="83" t="s">
        <v>245</v>
      </c>
      <c r="E19" s="106">
        <v>2210.18</v>
      </c>
      <c r="F19" s="14"/>
    </row>
    <row r="20" spans="1:6" ht="15" outlineLevel="2">
      <c r="A20" s="81"/>
      <c r="B20" s="84" t="s">
        <v>1907</v>
      </c>
      <c r="C20" s="84" t="s">
        <v>1587</v>
      </c>
      <c r="D20" s="84" t="s">
        <v>245</v>
      </c>
      <c r="E20" s="106">
        <v>2585</v>
      </c>
      <c r="F20" s="14"/>
    </row>
    <row r="21" spans="1:5" ht="12.75" customHeight="1" outlineLevel="1">
      <c r="A21" s="255" t="s">
        <v>1599</v>
      </c>
      <c r="B21" s="256"/>
      <c r="C21" s="256"/>
      <c r="D21" s="257"/>
      <c r="E21" s="105">
        <f>SUM(E22:E23)</f>
        <v>5326.53</v>
      </c>
    </row>
    <row r="22" spans="1:6" ht="15" outlineLevel="2">
      <c r="A22" s="42"/>
      <c r="B22" s="82" t="s">
        <v>696</v>
      </c>
      <c r="C22" s="82" t="s">
        <v>1577</v>
      </c>
      <c r="D22" s="82" t="s">
        <v>697</v>
      </c>
      <c r="E22" s="106">
        <v>3361.19</v>
      </c>
      <c r="F22" s="14"/>
    </row>
    <row r="23" spans="1:6" ht="15" outlineLevel="2">
      <c r="A23" s="42"/>
      <c r="B23" s="84" t="s">
        <v>1691</v>
      </c>
      <c r="C23" s="84" t="s">
        <v>1582</v>
      </c>
      <c r="D23" s="84" t="s">
        <v>821</v>
      </c>
      <c r="E23" s="106">
        <v>1965.34</v>
      </c>
      <c r="F23" s="14"/>
    </row>
    <row r="24" spans="1:5" ht="13.5" customHeight="1">
      <c r="A24" s="91"/>
      <c r="B24" s="308"/>
      <c r="C24" s="308"/>
      <c r="D24" s="155" t="s">
        <v>1600</v>
      </c>
      <c r="E24" s="130">
        <f>E25+E33+E39+E52+E61+E63+E67+E80+E81+E98+E100+E107+E111+E112</f>
        <v>274727.40599999996</v>
      </c>
    </row>
    <row r="25" spans="1:5" ht="13.5" customHeight="1" outlineLevel="1">
      <c r="A25" s="255" t="s">
        <v>1576</v>
      </c>
      <c r="B25" s="256"/>
      <c r="C25" s="256"/>
      <c r="D25" s="257"/>
      <c r="E25" s="105">
        <f>SUM(E26:E32)</f>
        <v>11374.1</v>
      </c>
    </row>
    <row r="26" spans="1:6" ht="15" customHeight="1" outlineLevel="2">
      <c r="A26" s="42"/>
      <c r="B26" s="83" t="s">
        <v>885</v>
      </c>
      <c r="C26" s="83" t="s">
        <v>1578</v>
      </c>
      <c r="D26" s="83" t="s">
        <v>887</v>
      </c>
      <c r="E26" s="106">
        <v>271.14</v>
      </c>
      <c r="F26" s="14"/>
    </row>
    <row r="27" spans="1:6" ht="15" outlineLevel="2">
      <c r="A27" s="42"/>
      <c r="B27" s="83" t="s">
        <v>2</v>
      </c>
      <c r="C27" s="83" t="s">
        <v>1580</v>
      </c>
      <c r="D27" s="83" t="s">
        <v>2277</v>
      </c>
      <c r="E27" s="106">
        <v>119.9</v>
      </c>
      <c r="F27" s="14"/>
    </row>
    <row r="28" spans="1:6" ht="15" outlineLevel="2">
      <c r="A28" s="42"/>
      <c r="B28" s="83" t="s">
        <v>1494</v>
      </c>
      <c r="C28" s="83" t="s">
        <v>1581</v>
      </c>
      <c r="D28" s="83" t="s">
        <v>2260</v>
      </c>
      <c r="E28" s="106">
        <v>5753.61</v>
      </c>
      <c r="F28" s="14"/>
    </row>
    <row r="29" spans="1:6" ht="27.75" customHeight="1" outlineLevel="2">
      <c r="A29" s="42"/>
      <c r="B29" s="83" t="s">
        <v>508</v>
      </c>
      <c r="C29" s="83" t="s">
        <v>1582</v>
      </c>
      <c r="D29" s="83" t="s">
        <v>509</v>
      </c>
      <c r="E29" s="106">
        <v>308.19</v>
      </c>
      <c r="F29" s="14"/>
    </row>
    <row r="30" spans="1:6" ht="15" outlineLevel="2">
      <c r="A30" s="42"/>
      <c r="B30" s="83" t="s">
        <v>1695</v>
      </c>
      <c r="C30" s="83" t="s">
        <v>1583</v>
      </c>
      <c r="D30" s="83" t="s">
        <v>1147</v>
      </c>
      <c r="E30" s="106">
        <v>2221.65</v>
      </c>
      <c r="F30" s="14"/>
    </row>
    <row r="31" spans="1:6" ht="15.75" customHeight="1" outlineLevel="2">
      <c r="A31" s="42"/>
      <c r="B31" s="83" t="s">
        <v>1033</v>
      </c>
      <c r="C31" s="83" t="s">
        <v>1583</v>
      </c>
      <c r="D31" s="83" t="s">
        <v>509</v>
      </c>
      <c r="E31" s="106">
        <v>2153.84</v>
      </c>
      <c r="F31" s="14"/>
    </row>
    <row r="32" spans="1:6" ht="15" outlineLevel="2">
      <c r="A32" s="42"/>
      <c r="B32" s="83" t="s">
        <v>29</v>
      </c>
      <c r="C32" s="83" t="s">
        <v>1584</v>
      </c>
      <c r="D32" s="83" t="s">
        <v>2510</v>
      </c>
      <c r="E32" s="106">
        <v>545.77</v>
      </c>
      <c r="F32" s="14"/>
    </row>
    <row r="33" spans="1:5" ht="12.75" customHeight="1" outlineLevel="1">
      <c r="A33" s="255" t="s">
        <v>1589</v>
      </c>
      <c r="B33" s="256"/>
      <c r="C33" s="256"/>
      <c r="D33" s="257"/>
      <c r="E33" s="105">
        <f>SUM(E34:E38)</f>
        <v>10124.96</v>
      </c>
    </row>
    <row r="34" spans="1:6" ht="16.5" customHeight="1" outlineLevel="2">
      <c r="A34" s="42"/>
      <c r="B34" s="83" t="s">
        <v>876</v>
      </c>
      <c r="C34" s="83" t="s">
        <v>1578</v>
      </c>
      <c r="D34" s="83" t="s">
        <v>2256</v>
      </c>
      <c r="E34" s="106">
        <v>1072.2</v>
      </c>
      <c r="F34" s="14"/>
    </row>
    <row r="35" spans="1:6" ht="15" outlineLevel="2">
      <c r="A35" s="42"/>
      <c r="B35" s="83" t="s">
        <v>1702</v>
      </c>
      <c r="C35" s="83" t="s">
        <v>1580</v>
      </c>
      <c r="D35" s="83" t="s">
        <v>147</v>
      </c>
      <c r="E35" s="106">
        <v>637.7</v>
      </c>
      <c r="F35" s="14"/>
    </row>
    <row r="36" spans="1:6" ht="15" outlineLevel="2">
      <c r="A36" s="42"/>
      <c r="B36" s="83" t="s">
        <v>1306</v>
      </c>
      <c r="C36" s="83" t="s">
        <v>1583</v>
      </c>
      <c r="D36" s="83" t="s">
        <v>1310</v>
      </c>
      <c r="E36" s="106">
        <v>2740.98</v>
      </c>
      <c r="F36" s="14"/>
    </row>
    <row r="37" spans="1:6" ht="15" outlineLevel="2">
      <c r="A37" s="42"/>
      <c r="B37" s="83" t="s">
        <v>42</v>
      </c>
      <c r="C37" s="83" t="s">
        <v>1583</v>
      </c>
      <c r="D37" s="83" t="s">
        <v>160</v>
      </c>
      <c r="E37" s="106">
        <v>3415.69</v>
      </c>
      <c r="F37" s="14"/>
    </row>
    <row r="38" spans="1:6" ht="15" outlineLevel="2">
      <c r="A38" s="42"/>
      <c r="B38" s="83" t="s">
        <v>1928</v>
      </c>
      <c r="C38" s="83" t="s">
        <v>1586</v>
      </c>
      <c r="D38" s="83" t="s">
        <v>1929</v>
      </c>
      <c r="E38" s="106">
        <v>2258.39</v>
      </c>
      <c r="F38" s="14"/>
    </row>
    <row r="39" spans="1:5" ht="15" customHeight="1" outlineLevel="1">
      <c r="A39" s="255" t="s">
        <v>1590</v>
      </c>
      <c r="B39" s="256"/>
      <c r="C39" s="256"/>
      <c r="D39" s="257"/>
      <c r="E39" s="105">
        <f>SUM(E40:E51)</f>
        <v>40326.61</v>
      </c>
    </row>
    <row r="40" spans="1:6" ht="15" outlineLevel="2">
      <c r="A40" s="42"/>
      <c r="B40" s="87" t="s">
        <v>872</v>
      </c>
      <c r="C40" s="83" t="s">
        <v>1578</v>
      </c>
      <c r="D40" s="83" t="s">
        <v>656</v>
      </c>
      <c r="E40" s="106">
        <v>694.3</v>
      </c>
      <c r="F40" s="14"/>
    </row>
    <row r="41" spans="1:6" ht="15" outlineLevel="2">
      <c r="A41" s="42"/>
      <c r="B41" s="87" t="s">
        <v>878</v>
      </c>
      <c r="C41" s="83" t="s">
        <v>1579</v>
      </c>
      <c r="D41" s="83" t="s">
        <v>2310</v>
      </c>
      <c r="E41" s="106">
        <v>440</v>
      </c>
      <c r="F41" s="14"/>
    </row>
    <row r="42" spans="1:6" ht="15" outlineLevel="2">
      <c r="A42" s="42"/>
      <c r="B42" s="87" t="s">
        <v>2182</v>
      </c>
      <c r="C42" s="83" t="s">
        <v>1580</v>
      </c>
      <c r="D42" s="83" t="s">
        <v>1021</v>
      </c>
      <c r="E42" s="106">
        <v>256.83</v>
      </c>
      <c r="F42" s="14"/>
    </row>
    <row r="43" spans="1:6" ht="15" outlineLevel="2">
      <c r="A43" s="42"/>
      <c r="B43" s="87" t="s">
        <v>1489</v>
      </c>
      <c r="C43" s="83" t="s">
        <v>1580</v>
      </c>
      <c r="D43" s="83" t="s">
        <v>465</v>
      </c>
      <c r="E43" s="106">
        <v>7266.77</v>
      </c>
      <c r="F43" s="14"/>
    </row>
    <row r="44" spans="1:6" ht="15" outlineLevel="2">
      <c r="A44" s="42"/>
      <c r="B44" s="87" t="s">
        <v>137</v>
      </c>
      <c r="C44" s="83" t="s">
        <v>1580</v>
      </c>
      <c r="D44" s="83" t="s">
        <v>1034</v>
      </c>
      <c r="E44" s="106">
        <v>169.06</v>
      </c>
      <c r="F44" s="14"/>
    </row>
    <row r="45" spans="1:6" ht="15" outlineLevel="2">
      <c r="A45" s="42"/>
      <c r="B45" s="87" t="s">
        <v>1708</v>
      </c>
      <c r="C45" s="83" t="s">
        <v>1581</v>
      </c>
      <c r="D45" s="83" t="s">
        <v>2092</v>
      </c>
      <c r="E45" s="106">
        <v>2910.28</v>
      </c>
      <c r="F45" s="14"/>
    </row>
    <row r="46" spans="1:6" ht="15" outlineLevel="2">
      <c r="A46" s="42"/>
      <c r="B46" s="87" t="s">
        <v>1689</v>
      </c>
      <c r="C46" s="83" t="s">
        <v>1582</v>
      </c>
      <c r="D46" s="83" t="s">
        <v>2413</v>
      </c>
      <c r="E46" s="106">
        <v>3387.11</v>
      </c>
      <c r="F46" s="14"/>
    </row>
    <row r="47" spans="1:6" ht="19.5" customHeight="1" outlineLevel="2">
      <c r="A47" s="42"/>
      <c r="B47" s="87" t="s">
        <v>197</v>
      </c>
      <c r="C47" s="83" t="s">
        <v>1584</v>
      </c>
      <c r="D47" s="83" t="s">
        <v>760</v>
      </c>
      <c r="E47" s="106">
        <v>11255.4</v>
      </c>
      <c r="F47" s="14"/>
    </row>
    <row r="48" spans="1:6" ht="17.25" customHeight="1" outlineLevel="2">
      <c r="A48" s="42"/>
      <c r="B48" s="87" t="s">
        <v>350</v>
      </c>
      <c r="C48" s="83" t="s">
        <v>1586</v>
      </c>
      <c r="D48" s="83" t="s">
        <v>2013</v>
      </c>
      <c r="E48" s="106">
        <v>3431.24</v>
      </c>
      <c r="F48" s="14"/>
    </row>
    <row r="49" spans="1:6" ht="16.5" customHeight="1" outlineLevel="2">
      <c r="A49" s="42"/>
      <c r="B49" s="87" t="s">
        <v>2</v>
      </c>
      <c r="C49" s="83" t="s">
        <v>1586</v>
      </c>
      <c r="D49" s="83" t="s">
        <v>783</v>
      </c>
      <c r="E49" s="106">
        <v>2941.32</v>
      </c>
      <c r="F49" s="14"/>
    </row>
    <row r="50" spans="1:6" ht="17.25" customHeight="1" outlineLevel="2">
      <c r="A50" s="42"/>
      <c r="B50" s="87" t="s">
        <v>205</v>
      </c>
      <c r="C50" s="83" t="s">
        <v>1587</v>
      </c>
      <c r="D50" s="83" t="s">
        <v>1729</v>
      </c>
      <c r="E50" s="106">
        <v>7528.77</v>
      </c>
      <c r="F50" s="14"/>
    </row>
    <row r="51" spans="1:6" ht="15" outlineLevel="2">
      <c r="A51" s="42"/>
      <c r="B51" s="87" t="s">
        <v>1199</v>
      </c>
      <c r="C51" s="83" t="s">
        <v>1587</v>
      </c>
      <c r="D51" s="83" t="s">
        <v>1179</v>
      </c>
      <c r="E51" s="106">
        <v>45.53</v>
      </c>
      <c r="F51" s="14"/>
    </row>
    <row r="52" spans="1:5" ht="12" customHeight="1" outlineLevel="1">
      <c r="A52" s="255" t="s">
        <v>1591</v>
      </c>
      <c r="B52" s="256"/>
      <c r="C52" s="256"/>
      <c r="D52" s="257"/>
      <c r="E52" s="105">
        <f>SUM(E53:E60)</f>
        <v>22268.760000000002</v>
      </c>
    </row>
    <row r="53" spans="1:6" ht="15" outlineLevel="2">
      <c r="A53" s="42"/>
      <c r="B53" s="88" t="s">
        <v>871</v>
      </c>
      <c r="C53" s="82" t="s">
        <v>1577</v>
      </c>
      <c r="D53" s="82" t="s">
        <v>2295</v>
      </c>
      <c r="E53" s="106">
        <v>3132.6</v>
      </c>
      <c r="F53" s="14"/>
    </row>
    <row r="54" spans="1:6" ht="15" outlineLevel="2">
      <c r="A54" s="42"/>
      <c r="B54" s="87" t="s">
        <v>2180</v>
      </c>
      <c r="C54" s="83" t="s">
        <v>1578</v>
      </c>
      <c r="D54" s="83" t="s">
        <v>2229</v>
      </c>
      <c r="E54" s="106">
        <v>1317.3</v>
      </c>
      <c r="F54" s="14"/>
    </row>
    <row r="55" spans="1:6" ht="16.5" customHeight="1" outlineLevel="2">
      <c r="A55" s="42"/>
      <c r="B55" s="87" t="s">
        <v>879</v>
      </c>
      <c r="C55" s="83" t="s">
        <v>1579</v>
      </c>
      <c r="D55" s="83" t="s">
        <v>320</v>
      </c>
      <c r="E55" s="106">
        <v>2037.59</v>
      </c>
      <c r="F55" s="14"/>
    </row>
    <row r="56" spans="1:6" ht="15" outlineLevel="2">
      <c r="A56" s="42"/>
      <c r="B56" s="87" t="s">
        <v>184</v>
      </c>
      <c r="C56" s="83" t="s">
        <v>1580</v>
      </c>
      <c r="D56" s="83" t="s">
        <v>683</v>
      </c>
      <c r="E56" s="106">
        <v>1397.37</v>
      </c>
      <c r="F56" s="14"/>
    </row>
    <row r="57" spans="1:6" ht="15" outlineLevel="2">
      <c r="A57" s="42"/>
      <c r="B57" s="87" t="s">
        <v>433</v>
      </c>
      <c r="C57" s="83" t="s">
        <v>1581</v>
      </c>
      <c r="D57" s="83" t="s">
        <v>2103</v>
      </c>
      <c r="E57" s="106">
        <v>898.25</v>
      </c>
      <c r="F57" s="14"/>
    </row>
    <row r="58" spans="1:6" ht="15" outlineLevel="2">
      <c r="A58" s="42"/>
      <c r="B58" s="87" t="s">
        <v>1683</v>
      </c>
      <c r="C58" s="83" t="s">
        <v>1582</v>
      </c>
      <c r="D58" s="83" t="s">
        <v>2502</v>
      </c>
      <c r="E58" s="106">
        <v>2786.73</v>
      </c>
      <c r="F58" s="14"/>
    </row>
    <row r="59" spans="1:6" ht="15" outlineLevel="2">
      <c r="A59" s="42"/>
      <c r="B59" s="87" t="s">
        <v>52</v>
      </c>
      <c r="C59" s="83" t="s">
        <v>1583</v>
      </c>
      <c r="D59" s="83" t="s">
        <v>1158</v>
      </c>
      <c r="E59" s="106">
        <v>377.92</v>
      </c>
      <c r="F59" s="14"/>
    </row>
    <row r="60" spans="1:6" ht="17.25" customHeight="1" outlineLevel="2">
      <c r="A60" s="42"/>
      <c r="B60" s="87" t="s">
        <v>142</v>
      </c>
      <c r="C60" s="83" t="s">
        <v>1585</v>
      </c>
      <c r="D60" s="83" t="s">
        <v>588</v>
      </c>
      <c r="E60" s="106">
        <v>10321</v>
      </c>
      <c r="F60" s="14"/>
    </row>
    <row r="61" spans="1:5" ht="13.5" customHeight="1" outlineLevel="1">
      <c r="A61" s="255" t="s">
        <v>1594</v>
      </c>
      <c r="B61" s="256"/>
      <c r="C61" s="256"/>
      <c r="D61" s="257"/>
      <c r="E61" s="105">
        <f>SUM(E62:E62)</f>
        <v>1198</v>
      </c>
    </row>
    <row r="62" spans="1:6" ht="12.75" customHeight="1" outlineLevel="2">
      <c r="A62" s="42"/>
      <c r="B62" s="87" t="s">
        <v>208</v>
      </c>
      <c r="C62" s="83" t="s">
        <v>1588</v>
      </c>
      <c r="D62" s="83" t="s">
        <v>466</v>
      </c>
      <c r="E62" s="106">
        <v>1198</v>
      </c>
      <c r="F62" s="14"/>
    </row>
    <row r="63" spans="1:5" ht="13.5" customHeight="1" outlineLevel="1">
      <c r="A63" s="255" t="s">
        <v>1599</v>
      </c>
      <c r="B63" s="256"/>
      <c r="C63" s="256"/>
      <c r="D63" s="257"/>
      <c r="E63" s="105">
        <f>SUM(E64:E66)</f>
        <v>14268.21</v>
      </c>
    </row>
    <row r="64" spans="1:6" ht="15" outlineLevel="2">
      <c r="A64" s="42"/>
      <c r="B64" s="83" t="s">
        <v>881</v>
      </c>
      <c r="C64" s="83" t="s">
        <v>1580</v>
      </c>
      <c r="D64" s="83" t="s">
        <v>893</v>
      </c>
      <c r="E64" s="106">
        <v>615.83</v>
      </c>
      <c r="F64" s="14"/>
    </row>
    <row r="65" spans="1:6" ht="15" outlineLevel="2">
      <c r="A65" s="42"/>
      <c r="B65" s="83" t="s">
        <v>1260</v>
      </c>
      <c r="C65" s="83" t="s">
        <v>1583</v>
      </c>
      <c r="D65" s="83" t="s">
        <v>2491</v>
      </c>
      <c r="E65" s="106">
        <v>1635.89</v>
      </c>
      <c r="F65" s="14"/>
    </row>
    <row r="66" spans="1:6" ht="15" outlineLevel="2">
      <c r="A66" s="42"/>
      <c r="B66" s="83" t="s">
        <v>2499</v>
      </c>
      <c r="C66" s="83" t="s">
        <v>1583</v>
      </c>
      <c r="D66" s="83" t="s">
        <v>1405</v>
      </c>
      <c r="E66" s="106">
        <v>12016.49</v>
      </c>
      <c r="F66" s="14"/>
    </row>
    <row r="67" spans="1:5" ht="13.5" customHeight="1" outlineLevel="1" collapsed="1">
      <c r="A67" s="255" t="s">
        <v>1713</v>
      </c>
      <c r="B67" s="256"/>
      <c r="C67" s="256"/>
      <c r="D67" s="257"/>
      <c r="E67" s="105">
        <f>SUM(E68:E79)</f>
        <v>102730.94000000002</v>
      </c>
    </row>
    <row r="68" spans="1:6" ht="15" hidden="1" outlineLevel="2">
      <c r="A68" s="42"/>
      <c r="B68" s="82"/>
      <c r="C68" s="82" t="s">
        <v>1577</v>
      </c>
      <c r="D68" s="82" t="s">
        <v>1496</v>
      </c>
      <c r="E68" s="106">
        <v>8714.77</v>
      </c>
      <c r="F68" s="14"/>
    </row>
    <row r="69" spans="1:6" ht="15" hidden="1" outlineLevel="2">
      <c r="A69" s="42"/>
      <c r="B69" s="83"/>
      <c r="C69" s="83" t="s">
        <v>1578</v>
      </c>
      <c r="D69" s="83" t="s">
        <v>1496</v>
      </c>
      <c r="E69" s="106">
        <v>8714.77</v>
      </c>
      <c r="F69" s="14"/>
    </row>
    <row r="70" spans="1:6" ht="15" hidden="1" outlineLevel="2">
      <c r="A70" s="42"/>
      <c r="B70" s="83"/>
      <c r="C70" s="83" t="s">
        <v>1579</v>
      </c>
      <c r="D70" s="83" t="s">
        <v>1496</v>
      </c>
      <c r="E70" s="106">
        <v>8714.77</v>
      </c>
      <c r="F70" s="14"/>
    </row>
    <row r="71" spans="1:6" ht="15" hidden="1" outlineLevel="2">
      <c r="A71" s="42"/>
      <c r="B71" s="83"/>
      <c r="C71" s="83" t="s">
        <v>1580</v>
      </c>
      <c r="D71" s="83" t="s">
        <v>1496</v>
      </c>
      <c r="E71" s="106">
        <v>8714.77</v>
      </c>
      <c r="F71" s="14"/>
    </row>
    <row r="72" spans="1:6" ht="15" hidden="1" outlineLevel="2">
      <c r="A72" s="42"/>
      <c r="B72" s="83"/>
      <c r="C72" s="83" t="s">
        <v>1581</v>
      </c>
      <c r="D72" s="83" t="s">
        <v>1496</v>
      </c>
      <c r="E72" s="106">
        <v>8345.51</v>
      </c>
      <c r="F72" s="14"/>
    </row>
    <row r="73" spans="1:6" ht="15" hidden="1" outlineLevel="2">
      <c r="A73" s="42"/>
      <c r="B73" s="83"/>
      <c r="C73" s="83" t="s">
        <v>1582</v>
      </c>
      <c r="D73" s="83" t="s">
        <v>1496</v>
      </c>
      <c r="E73" s="106">
        <v>8345.51</v>
      </c>
      <c r="F73" s="14"/>
    </row>
    <row r="74" spans="1:6" ht="15" hidden="1" outlineLevel="2">
      <c r="A74" s="42"/>
      <c r="B74" s="83"/>
      <c r="C74" s="83" t="s">
        <v>1583</v>
      </c>
      <c r="D74" s="83" t="s">
        <v>1496</v>
      </c>
      <c r="E74" s="106">
        <v>8345.51</v>
      </c>
      <c r="F74" s="14"/>
    </row>
    <row r="75" spans="1:6" ht="15" hidden="1" outlineLevel="2">
      <c r="A75" s="42"/>
      <c r="B75" s="83"/>
      <c r="C75" s="83" t="s">
        <v>1584</v>
      </c>
      <c r="D75" s="83" t="s">
        <v>1496</v>
      </c>
      <c r="E75" s="106">
        <v>8345.51</v>
      </c>
      <c r="F75" s="14"/>
    </row>
    <row r="76" spans="1:6" ht="15" hidden="1" outlineLevel="2">
      <c r="A76" s="42"/>
      <c r="B76" s="83"/>
      <c r="C76" s="83" t="s">
        <v>1585</v>
      </c>
      <c r="D76" s="83" t="s">
        <v>1496</v>
      </c>
      <c r="E76" s="106">
        <v>8345.51</v>
      </c>
      <c r="F76" s="14"/>
    </row>
    <row r="77" spans="1:6" ht="15" hidden="1" outlineLevel="2">
      <c r="A77" s="42"/>
      <c r="B77" s="83"/>
      <c r="C77" s="83" t="s">
        <v>1586</v>
      </c>
      <c r="D77" s="83" t="s">
        <v>1496</v>
      </c>
      <c r="E77" s="106">
        <v>8714.77</v>
      </c>
      <c r="F77" s="14"/>
    </row>
    <row r="78" spans="1:6" ht="15" hidden="1" outlineLevel="2">
      <c r="A78" s="42"/>
      <c r="B78" s="83"/>
      <c r="C78" s="83" t="s">
        <v>1587</v>
      </c>
      <c r="D78" s="83" t="s">
        <v>1496</v>
      </c>
      <c r="E78" s="106">
        <v>8714.77</v>
      </c>
      <c r="F78" s="14"/>
    </row>
    <row r="79" spans="1:6" ht="15" hidden="1" outlineLevel="2">
      <c r="A79" s="42"/>
      <c r="B79" s="89"/>
      <c r="C79" s="83" t="s">
        <v>1588</v>
      </c>
      <c r="D79" s="83" t="s">
        <v>1496</v>
      </c>
      <c r="E79" s="106">
        <v>8714.77</v>
      </c>
      <c r="F79" s="14"/>
    </row>
    <row r="80" spans="1:5" ht="13.5" customHeight="1" outlineLevel="1">
      <c r="A80" s="255" t="s">
        <v>1714</v>
      </c>
      <c r="B80" s="256"/>
      <c r="C80" s="256"/>
      <c r="D80" s="257"/>
      <c r="E80" s="105">
        <f>1.46*2461.8*12</f>
        <v>43130.736000000004</v>
      </c>
    </row>
    <row r="81" spans="1:5" ht="14.25" customHeight="1" outlineLevel="1">
      <c r="A81" s="255" t="s">
        <v>1715</v>
      </c>
      <c r="B81" s="256"/>
      <c r="C81" s="256"/>
      <c r="D81" s="257"/>
      <c r="E81" s="105">
        <f>E82+E83+E84+E85+E86+E87+E88+E89+E90+E91+E92+E93+E94+E95+E96+E97</f>
        <v>13030.95</v>
      </c>
    </row>
    <row r="82" spans="1:6" ht="15" outlineLevel="2">
      <c r="A82" s="42"/>
      <c r="B82" s="82" t="s">
        <v>66</v>
      </c>
      <c r="C82" s="82" t="s">
        <v>1577</v>
      </c>
      <c r="D82" s="82" t="s">
        <v>2179</v>
      </c>
      <c r="E82" s="106">
        <v>2164</v>
      </c>
      <c r="F82" s="14"/>
    </row>
    <row r="83" spans="1:6" ht="15" outlineLevel="2">
      <c r="A83" s="42"/>
      <c r="B83" s="83" t="s">
        <v>870</v>
      </c>
      <c r="C83" s="83" t="s">
        <v>1577</v>
      </c>
      <c r="D83" s="83" t="s">
        <v>1500</v>
      </c>
      <c r="E83" s="106">
        <v>42.33</v>
      </c>
      <c r="F83" s="14"/>
    </row>
    <row r="84" spans="1:6" ht="15" outlineLevel="2">
      <c r="A84" s="42"/>
      <c r="B84" s="83" t="s">
        <v>6</v>
      </c>
      <c r="C84" s="83" t="s">
        <v>1577</v>
      </c>
      <c r="D84" s="83" t="s">
        <v>1364</v>
      </c>
      <c r="E84" s="106">
        <v>711.82</v>
      </c>
      <c r="F84" s="14"/>
    </row>
    <row r="85" spans="1:6" ht="15" outlineLevel="2">
      <c r="A85" s="42"/>
      <c r="B85" s="83" t="s">
        <v>241</v>
      </c>
      <c r="C85" s="83" t="s">
        <v>1578</v>
      </c>
      <c r="D85" s="83" t="s">
        <v>1500</v>
      </c>
      <c r="E85" s="106">
        <v>68.1</v>
      </c>
      <c r="F85" s="14"/>
    </row>
    <row r="86" spans="1:6" ht="15" outlineLevel="2">
      <c r="A86" s="42"/>
      <c r="B86" s="83" t="s">
        <v>873</v>
      </c>
      <c r="C86" s="83" t="s">
        <v>1578</v>
      </c>
      <c r="D86" s="83" t="s">
        <v>405</v>
      </c>
      <c r="E86" s="106">
        <v>667.5</v>
      </c>
      <c r="F86" s="14"/>
    </row>
    <row r="87" spans="1:6" ht="15" outlineLevel="2">
      <c r="A87" s="42"/>
      <c r="B87" s="83" t="s">
        <v>1499</v>
      </c>
      <c r="C87" s="83" t="s">
        <v>1579</v>
      </c>
      <c r="D87" s="83" t="s">
        <v>1500</v>
      </c>
      <c r="E87" s="106">
        <v>65</v>
      </c>
      <c r="F87" s="14"/>
    </row>
    <row r="88" spans="1:6" ht="15" outlineLevel="2">
      <c r="A88" s="42"/>
      <c r="B88" s="83" t="s">
        <v>139</v>
      </c>
      <c r="C88" s="83" t="s">
        <v>1580</v>
      </c>
      <c r="D88" s="83" t="s">
        <v>2233</v>
      </c>
      <c r="E88" s="106">
        <v>578.08</v>
      </c>
      <c r="F88" s="14"/>
    </row>
    <row r="89" spans="1:6" ht="15" outlineLevel="2">
      <c r="A89" s="42"/>
      <c r="B89" s="83" t="s">
        <v>1678</v>
      </c>
      <c r="C89" s="83" t="s">
        <v>1581</v>
      </c>
      <c r="D89" s="83" t="s">
        <v>223</v>
      </c>
      <c r="E89" s="106">
        <v>513.59</v>
      </c>
      <c r="F89" s="14"/>
    </row>
    <row r="90" spans="1:6" ht="15" outlineLevel="2">
      <c r="A90" s="42"/>
      <c r="B90" s="83" t="s">
        <v>1687</v>
      </c>
      <c r="C90" s="83" t="s">
        <v>1582</v>
      </c>
      <c r="D90" s="83" t="s">
        <v>1005</v>
      </c>
      <c r="E90" s="106">
        <v>1688</v>
      </c>
      <c r="F90" s="14"/>
    </row>
    <row r="91" spans="1:6" ht="30" outlineLevel="2">
      <c r="A91" s="42"/>
      <c r="B91" s="83" t="s">
        <v>761</v>
      </c>
      <c r="C91" s="83" t="s">
        <v>1582</v>
      </c>
      <c r="D91" s="83" t="s">
        <v>762</v>
      </c>
      <c r="E91" s="106">
        <v>250</v>
      </c>
      <c r="F91" s="14"/>
    </row>
    <row r="92" spans="1:6" ht="15" outlineLevel="2">
      <c r="A92" s="42"/>
      <c r="B92" s="83" t="s">
        <v>1378</v>
      </c>
      <c r="C92" s="83" t="s">
        <v>1583</v>
      </c>
      <c r="D92" s="83" t="s">
        <v>110</v>
      </c>
      <c r="E92" s="106">
        <v>2492.53</v>
      </c>
      <c r="F92" s="14"/>
    </row>
    <row r="93" spans="1:6" ht="15" outlineLevel="2">
      <c r="A93" s="42"/>
      <c r="B93" s="83" t="s">
        <v>577</v>
      </c>
      <c r="C93" s="83" t="s">
        <v>1586</v>
      </c>
      <c r="D93" s="83" t="s">
        <v>1005</v>
      </c>
      <c r="E93" s="106">
        <v>2636</v>
      </c>
      <c r="F93" s="14"/>
    </row>
    <row r="94" spans="1:6" ht="15" outlineLevel="2">
      <c r="A94" s="42"/>
      <c r="B94" s="83" t="s">
        <v>206</v>
      </c>
      <c r="C94" s="83" t="s">
        <v>1587</v>
      </c>
      <c r="D94" s="83" t="s">
        <v>207</v>
      </c>
      <c r="E94" s="106">
        <v>278.4</v>
      </c>
      <c r="F94" s="14"/>
    </row>
    <row r="95" spans="1:6" ht="15" outlineLevel="2">
      <c r="A95" s="42"/>
      <c r="B95" s="83" t="s">
        <v>801</v>
      </c>
      <c r="C95" s="83" t="s">
        <v>1587</v>
      </c>
      <c r="D95" s="83" t="s">
        <v>803</v>
      </c>
      <c r="E95" s="106">
        <v>111.2</v>
      </c>
      <c r="F95" s="14"/>
    </row>
    <row r="96" spans="1:6" ht="15" outlineLevel="2">
      <c r="A96" s="42"/>
      <c r="B96" s="83" t="s">
        <v>1958</v>
      </c>
      <c r="C96" s="83" t="s">
        <v>1588</v>
      </c>
      <c r="D96" s="83" t="s">
        <v>1960</v>
      </c>
      <c r="E96" s="106">
        <v>442.31</v>
      </c>
      <c r="F96" s="14"/>
    </row>
    <row r="97" spans="1:6" ht="15" outlineLevel="2">
      <c r="A97" s="42"/>
      <c r="B97" s="83" t="s">
        <v>1899</v>
      </c>
      <c r="C97" s="83" t="s">
        <v>1588</v>
      </c>
      <c r="D97" s="83" t="s">
        <v>1005</v>
      </c>
      <c r="E97" s="106">
        <v>322.09</v>
      </c>
      <c r="F97" s="14"/>
    </row>
    <row r="98" spans="1:5" ht="12.75" customHeight="1" outlineLevel="1">
      <c r="A98" s="255" t="s">
        <v>1717</v>
      </c>
      <c r="B98" s="256"/>
      <c r="C98" s="256"/>
      <c r="D98" s="257"/>
      <c r="E98" s="105">
        <f>SUM(E99:E99)</f>
        <v>212.16</v>
      </c>
    </row>
    <row r="99" spans="1:6" ht="15" outlineLevel="2">
      <c r="A99" s="42"/>
      <c r="B99" s="82" t="s">
        <v>1267</v>
      </c>
      <c r="C99" s="82" t="s">
        <v>1577</v>
      </c>
      <c r="D99" s="82" t="s">
        <v>1495</v>
      </c>
      <c r="E99" s="106">
        <v>212.16</v>
      </c>
      <c r="F99" s="14"/>
    </row>
    <row r="100" spans="1:5" ht="13.5" customHeight="1" outlineLevel="1">
      <c r="A100" s="255" t="s">
        <v>1595</v>
      </c>
      <c r="B100" s="256"/>
      <c r="C100" s="256"/>
      <c r="D100" s="257"/>
      <c r="E100" s="105">
        <f>SUM(E101:E106)</f>
        <v>8449.43</v>
      </c>
    </row>
    <row r="101" spans="1:6" ht="18.75" customHeight="1" outlineLevel="2">
      <c r="A101" s="42"/>
      <c r="B101" s="82" t="s">
        <v>64</v>
      </c>
      <c r="C101" s="82" t="s">
        <v>1577</v>
      </c>
      <c r="D101" s="82" t="s">
        <v>370</v>
      </c>
      <c r="E101" s="106">
        <v>286</v>
      </c>
      <c r="F101" s="14"/>
    </row>
    <row r="102" spans="1:6" ht="15" outlineLevel="2">
      <c r="A102" s="42"/>
      <c r="B102" s="83" t="s">
        <v>1493</v>
      </c>
      <c r="C102" s="83" t="s">
        <v>1580</v>
      </c>
      <c r="D102" s="83" t="s">
        <v>1419</v>
      </c>
      <c r="E102" s="106">
        <v>766.74</v>
      </c>
      <c r="F102" s="14"/>
    </row>
    <row r="103" spans="1:6" ht="15" outlineLevel="2">
      <c r="A103" s="42"/>
      <c r="B103" s="83" t="s">
        <v>1680</v>
      </c>
      <c r="C103" s="83" t="s">
        <v>1581</v>
      </c>
      <c r="D103" s="83" t="s">
        <v>1092</v>
      </c>
      <c r="E103" s="106">
        <v>5404</v>
      </c>
      <c r="F103" s="14"/>
    </row>
    <row r="104" spans="1:6" ht="15" outlineLevel="2">
      <c r="A104" s="42"/>
      <c r="B104" s="83" t="s">
        <v>43</v>
      </c>
      <c r="C104" s="83" t="s">
        <v>1583</v>
      </c>
      <c r="D104" s="83" t="s">
        <v>1882</v>
      </c>
      <c r="E104" s="106">
        <v>10.87</v>
      </c>
      <c r="F104" s="14"/>
    </row>
    <row r="105" spans="1:6" ht="18" customHeight="1" outlineLevel="2">
      <c r="A105" s="42"/>
      <c r="B105" s="83" t="s">
        <v>2384</v>
      </c>
      <c r="C105" s="83" t="s">
        <v>1586</v>
      </c>
      <c r="D105" s="83" t="s">
        <v>2383</v>
      </c>
      <c r="E105" s="106">
        <v>1766</v>
      </c>
      <c r="F105" s="14"/>
    </row>
    <row r="106" spans="1:6" ht="15" outlineLevel="2">
      <c r="A106" s="42"/>
      <c r="B106" s="83" t="s">
        <v>1181</v>
      </c>
      <c r="C106" s="83" t="s">
        <v>1587</v>
      </c>
      <c r="D106" s="83" t="s">
        <v>1191</v>
      </c>
      <c r="E106" s="106">
        <v>215.82</v>
      </c>
      <c r="F106" s="14"/>
    </row>
    <row r="107" spans="1:5" ht="15" customHeight="1" outlineLevel="1">
      <c r="A107" s="255" t="s">
        <v>1718</v>
      </c>
      <c r="B107" s="256"/>
      <c r="C107" s="256"/>
      <c r="D107" s="257"/>
      <c r="E107" s="105">
        <f>SUM(E108:E110)</f>
        <v>1491.73</v>
      </c>
    </row>
    <row r="108" spans="1:6" ht="15" outlineLevel="2">
      <c r="A108" s="42"/>
      <c r="B108" s="83" t="s">
        <v>2</v>
      </c>
      <c r="C108" s="83" t="s">
        <v>57</v>
      </c>
      <c r="D108" s="83" t="s">
        <v>721</v>
      </c>
      <c r="E108" s="106">
        <v>120.73</v>
      </c>
      <c r="F108" s="14"/>
    </row>
    <row r="109" spans="1:6" ht="15" outlineLevel="2">
      <c r="A109" s="42"/>
      <c r="B109" s="83" t="s">
        <v>2</v>
      </c>
      <c r="C109" s="83" t="s">
        <v>1581</v>
      </c>
      <c r="D109" s="83" t="s">
        <v>2390</v>
      </c>
      <c r="E109" s="106">
        <v>1236.6</v>
      </c>
      <c r="F109" s="14"/>
    </row>
    <row r="110" spans="1:6" ht="15" outlineLevel="2">
      <c r="A110" s="42"/>
      <c r="B110" s="84" t="s">
        <v>2</v>
      </c>
      <c r="C110" s="84" t="s">
        <v>57</v>
      </c>
      <c r="D110" s="84" t="s">
        <v>936</v>
      </c>
      <c r="E110" s="106">
        <v>134.4</v>
      </c>
      <c r="F110" s="14"/>
    </row>
    <row r="111" spans="1:6" ht="13.5" customHeight="1" outlineLevel="2">
      <c r="A111" s="255" t="s">
        <v>0</v>
      </c>
      <c r="B111" s="256"/>
      <c r="C111" s="256"/>
      <c r="D111" s="257"/>
      <c r="E111" s="105">
        <f>0.1*2461.8*12</f>
        <v>2954.1600000000003</v>
      </c>
      <c r="F111" s="14"/>
    </row>
    <row r="112" spans="1:6" ht="13.5" customHeight="1" outlineLevel="2">
      <c r="A112" s="255" t="s">
        <v>1369</v>
      </c>
      <c r="B112" s="256"/>
      <c r="C112" s="256"/>
      <c r="D112" s="257"/>
      <c r="E112" s="105">
        <v>3166.66</v>
      </c>
      <c r="F112" s="14"/>
    </row>
    <row r="113" spans="1:6" ht="15">
      <c r="A113" s="42"/>
      <c r="B113" s="270" t="s">
        <v>59</v>
      </c>
      <c r="C113" s="270"/>
      <c r="D113" s="270"/>
      <c r="E113" s="43">
        <f>1.57*2461.8*12</f>
        <v>46380.312000000005</v>
      </c>
      <c r="F113" s="14"/>
    </row>
    <row r="114" spans="1:6" ht="15">
      <c r="A114" s="42"/>
      <c r="B114" s="270" t="s">
        <v>256</v>
      </c>
      <c r="C114" s="270"/>
      <c r="D114" s="270"/>
      <c r="E114" s="43">
        <f>10.3*(E116+E117)/100</f>
        <v>62072.80992000001</v>
      </c>
      <c r="F114" s="14"/>
    </row>
    <row r="115" spans="1:6" ht="15">
      <c r="A115" s="42">
        <v>1</v>
      </c>
      <c r="B115" s="272" t="s">
        <v>659</v>
      </c>
      <c r="C115" s="272"/>
      <c r="D115" s="272"/>
      <c r="E115" s="44">
        <f>E114+E113+E24+E3</f>
        <v>566943.51792</v>
      </c>
      <c r="F115" s="1">
        <v>1</v>
      </c>
    </row>
    <row r="116" spans="1:6" ht="15">
      <c r="A116" s="42">
        <v>2</v>
      </c>
      <c r="B116" s="270" t="s">
        <v>258</v>
      </c>
      <c r="C116" s="270"/>
      <c r="D116" s="270"/>
      <c r="E116" s="43">
        <v>525840.48</v>
      </c>
      <c r="F116" s="14">
        <v>2</v>
      </c>
    </row>
    <row r="117" spans="1:6" ht="15">
      <c r="A117" s="42">
        <v>3</v>
      </c>
      <c r="B117" s="270" t="s">
        <v>259</v>
      </c>
      <c r="C117" s="270"/>
      <c r="D117" s="270"/>
      <c r="E117" s="43">
        <v>76808.16</v>
      </c>
      <c r="F117" s="1">
        <v>3</v>
      </c>
    </row>
    <row r="118" spans="1:6" ht="15">
      <c r="A118" s="42">
        <v>4</v>
      </c>
      <c r="B118" s="270" t="s">
        <v>660</v>
      </c>
      <c r="C118" s="270"/>
      <c r="D118" s="270"/>
      <c r="E118" s="43">
        <v>1650139.08</v>
      </c>
      <c r="F118" s="1">
        <v>4</v>
      </c>
    </row>
    <row r="119" spans="1:6" ht="15">
      <c r="A119" s="42">
        <v>5</v>
      </c>
      <c r="B119" s="270" t="s">
        <v>2340</v>
      </c>
      <c r="C119" s="270"/>
      <c r="D119" s="270"/>
      <c r="E119" s="43">
        <v>1533365.06</v>
      </c>
      <c r="F119" s="1">
        <v>5</v>
      </c>
    </row>
    <row r="120" spans="1:6" ht="15">
      <c r="A120" s="42">
        <v>6</v>
      </c>
      <c r="B120" s="272" t="s">
        <v>2341</v>
      </c>
      <c r="C120" s="272"/>
      <c r="D120" s="272"/>
      <c r="E120" s="44">
        <f>'[5]Лесная 14'!$E$93+E115</f>
        <v>1944491.97792</v>
      </c>
      <c r="F120" s="1">
        <v>6</v>
      </c>
    </row>
    <row r="121" spans="1:6" ht="15">
      <c r="A121" s="42">
        <v>7</v>
      </c>
      <c r="B121" s="270" t="s">
        <v>732</v>
      </c>
      <c r="C121" s="270"/>
      <c r="D121" s="270"/>
      <c r="E121" s="43">
        <v>240469.5</v>
      </c>
      <c r="F121" s="1">
        <v>7</v>
      </c>
    </row>
    <row r="122" spans="1:6" ht="15">
      <c r="A122" s="42">
        <v>8</v>
      </c>
      <c r="B122" s="270" t="s">
        <v>733</v>
      </c>
      <c r="C122" s="270"/>
      <c r="D122" s="270"/>
      <c r="E122" s="43">
        <v>223452.6</v>
      </c>
      <c r="F122" s="1">
        <v>8</v>
      </c>
    </row>
    <row r="123" spans="1:6" ht="15">
      <c r="A123" s="42">
        <v>9</v>
      </c>
      <c r="B123" s="272" t="s">
        <v>734</v>
      </c>
      <c r="C123" s="272"/>
      <c r="D123" s="272"/>
      <c r="E123" s="44">
        <f>E126+'[5]Мира 34'!$E$116</f>
        <v>0</v>
      </c>
      <c r="F123" s="1">
        <v>9</v>
      </c>
    </row>
    <row r="124" spans="1:6" ht="15">
      <c r="A124" s="42">
        <v>10</v>
      </c>
      <c r="B124" s="270" t="s">
        <v>260</v>
      </c>
      <c r="C124" s="270"/>
      <c r="D124" s="270"/>
      <c r="E124" s="43">
        <v>76808.16</v>
      </c>
      <c r="F124" s="1">
        <v>10</v>
      </c>
    </row>
    <row r="125" spans="1:6" ht="15">
      <c r="A125" s="42">
        <v>11</v>
      </c>
      <c r="B125" s="270" t="s">
        <v>735</v>
      </c>
      <c r="C125" s="270"/>
      <c r="D125" s="270"/>
      <c r="E125" s="43">
        <v>71425.51</v>
      </c>
      <c r="F125" s="1">
        <v>11</v>
      </c>
    </row>
    <row r="126" spans="1:6" ht="15">
      <c r="A126" s="42">
        <v>12</v>
      </c>
      <c r="B126" s="272" t="s">
        <v>736</v>
      </c>
      <c r="C126" s="272"/>
      <c r="D126" s="272"/>
      <c r="E126" s="44">
        <v>0</v>
      </c>
      <c r="F126" s="1">
        <v>12</v>
      </c>
    </row>
    <row r="127" spans="1:6" ht="18.75" customHeight="1">
      <c r="A127" s="42">
        <v>13</v>
      </c>
      <c r="B127" s="271" t="s">
        <v>460</v>
      </c>
      <c r="C127" s="271"/>
      <c r="D127" s="271"/>
      <c r="E127" s="45">
        <f>E118-E120</f>
        <v>-294352.8979199999</v>
      </c>
      <c r="F127" s="1">
        <v>13</v>
      </c>
    </row>
    <row r="128" spans="1:6" ht="17.25" customHeight="1">
      <c r="A128" s="42">
        <v>14</v>
      </c>
      <c r="B128" s="271" t="s">
        <v>738</v>
      </c>
      <c r="C128" s="271"/>
      <c r="D128" s="271"/>
      <c r="E128" s="45">
        <f>E121-E123</f>
        <v>240469.5</v>
      </c>
      <c r="F128" s="1">
        <v>14</v>
      </c>
    </row>
    <row r="129" spans="1:6" ht="30.75" customHeight="1">
      <c r="A129" s="42">
        <v>15</v>
      </c>
      <c r="B129" s="271" t="s">
        <v>2273</v>
      </c>
      <c r="C129" s="271"/>
      <c r="D129" s="271"/>
      <c r="E129" s="45">
        <f>E119-E120</f>
        <v>-411126.9179199999</v>
      </c>
      <c r="F129" s="1">
        <v>15</v>
      </c>
    </row>
    <row r="130" ht="12.75">
      <c r="E130" s="39"/>
    </row>
    <row r="131" spans="1:5" ht="102">
      <c r="A131" s="12" t="s">
        <v>492</v>
      </c>
      <c r="E131" s="39"/>
    </row>
    <row r="132" spans="1:5" ht="89.25">
      <c r="A132" s="12" t="s">
        <v>493</v>
      </c>
      <c r="E132" s="39"/>
    </row>
    <row r="133" spans="1:5" ht="216.75">
      <c r="A133" s="12" t="s">
        <v>494</v>
      </c>
      <c r="E133" s="39"/>
    </row>
    <row r="134" spans="1:5" ht="89.25">
      <c r="A134" s="12" t="s">
        <v>495</v>
      </c>
      <c r="E134" s="39"/>
    </row>
    <row r="136" spans="2:5" ht="12.75">
      <c r="B136" s="12"/>
      <c r="C136" s="12" t="s">
        <v>1579</v>
      </c>
      <c r="D136" s="12" t="s">
        <v>144</v>
      </c>
      <c r="E136" s="13">
        <v>8714.77</v>
      </c>
    </row>
    <row r="137" spans="2:5" ht="12.75">
      <c r="B137" s="12" t="s">
        <v>2182</v>
      </c>
      <c r="C137" s="12" t="s">
        <v>1580</v>
      </c>
      <c r="D137" s="12" t="s">
        <v>880</v>
      </c>
      <c r="E137" s="13">
        <v>256.83</v>
      </c>
    </row>
    <row r="138" spans="2:5" ht="12.75">
      <c r="B138" s="12" t="s">
        <v>881</v>
      </c>
      <c r="C138" s="12" t="s">
        <v>1580</v>
      </c>
      <c r="D138" s="12" t="s">
        <v>882</v>
      </c>
      <c r="E138" s="13">
        <v>767.82</v>
      </c>
    </row>
    <row r="139" spans="2:5" ht="12.75">
      <c r="B139" s="12" t="s">
        <v>137</v>
      </c>
      <c r="C139" s="12" t="s">
        <v>1580</v>
      </c>
      <c r="D139" s="12" t="s">
        <v>883</v>
      </c>
      <c r="E139" s="13">
        <v>168.3</v>
      </c>
    </row>
    <row r="140" spans="2:5" ht="12.75">
      <c r="B140" s="12" t="s">
        <v>139</v>
      </c>
      <c r="C140" s="12" t="s">
        <v>1580</v>
      </c>
      <c r="D140" s="12" t="s">
        <v>884</v>
      </c>
      <c r="E140" s="13">
        <v>578.08</v>
      </c>
    </row>
    <row r="141" spans="2:5" ht="12.75">
      <c r="B141" s="12" t="s">
        <v>1489</v>
      </c>
      <c r="C141" s="12" t="s">
        <v>1580</v>
      </c>
      <c r="D141" s="12" t="s">
        <v>1490</v>
      </c>
      <c r="E141" s="13">
        <v>6420.73</v>
      </c>
    </row>
    <row r="142" spans="2:5" ht="12.75">
      <c r="B142" s="12" t="s">
        <v>1491</v>
      </c>
      <c r="C142" s="12" t="s">
        <v>1580</v>
      </c>
      <c r="D142" s="12" t="s">
        <v>1492</v>
      </c>
      <c r="E142" s="13">
        <v>1356.28</v>
      </c>
    </row>
    <row r="143" spans="2:5" ht="12.75">
      <c r="B143" s="12" t="s">
        <v>1493</v>
      </c>
      <c r="C143" s="12" t="s">
        <v>1580</v>
      </c>
      <c r="D143" s="12" t="s">
        <v>1676</v>
      </c>
      <c r="E143" s="13">
        <v>766.74</v>
      </c>
    </row>
    <row r="144" spans="2:5" ht="12.75">
      <c r="B144" s="12"/>
      <c r="C144" s="12" t="s">
        <v>1580</v>
      </c>
      <c r="D144" s="12" t="s">
        <v>144</v>
      </c>
      <c r="E144" s="13">
        <v>8714.77</v>
      </c>
    </row>
    <row r="145" spans="2:5" ht="12.75">
      <c r="B145" s="12" t="s">
        <v>1708</v>
      </c>
      <c r="C145" s="12" t="s">
        <v>1581</v>
      </c>
      <c r="D145" s="12" t="s">
        <v>1677</v>
      </c>
      <c r="E145" s="13">
        <v>2884.33</v>
      </c>
    </row>
    <row r="146" spans="2:5" ht="12.75">
      <c r="B146" s="12" t="s">
        <v>1678</v>
      </c>
      <c r="C146" s="12" t="s">
        <v>1581</v>
      </c>
      <c r="D146" s="12" t="s">
        <v>1679</v>
      </c>
      <c r="E146" s="13">
        <v>513.59</v>
      </c>
    </row>
    <row r="147" spans="2:5" ht="12.75">
      <c r="B147" s="12" t="s">
        <v>1680</v>
      </c>
      <c r="C147" s="12" t="s">
        <v>1581</v>
      </c>
      <c r="D147" s="12" t="s">
        <v>1681</v>
      </c>
      <c r="E147" s="13">
        <v>5404</v>
      </c>
    </row>
    <row r="148" spans="2:5" ht="12.75">
      <c r="B148" s="12" t="s">
        <v>1494</v>
      </c>
      <c r="C148" s="12" t="s">
        <v>1581</v>
      </c>
      <c r="D148" s="12" t="s">
        <v>1682</v>
      </c>
      <c r="E148" s="13">
        <v>5586.03</v>
      </c>
    </row>
    <row r="149" spans="2:5" ht="12.75">
      <c r="B149" s="12"/>
      <c r="C149" s="12" t="s">
        <v>1581</v>
      </c>
      <c r="D149" s="12" t="s">
        <v>144</v>
      </c>
      <c r="E149" s="13">
        <v>8345.51</v>
      </c>
    </row>
    <row r="150" spans="2:5" ht="12.75">
      <c r="B150" s="12" t="s">
        <v>1683</v>
      </c>
      <c r="C150" s="12" t="s">
        <v>1582</v>
      </c>
      <c r="D150" s="12" t="s">
        <v>1684</v>
      </c>
      <c r="E150" s="13">
        <v>2692.68</v>
      </c>
    </row>
    <row r="151" spans="2:5" ht="12.75">
      <c r="B151" s="12" t="s">
        <v>1685</v>
      </c>
      <c r="C151" s="12" t="s">
        <v>1582</v>
      </c>
      <c r="D151" s="12" t="s">
        <v>1686</v>
      </c>
      <c r="E151" s="13">
        <v>5427</v>
      </c>
    </row>
    <row r="152" spans="2:5" ht="12.75">
      <c r="B152" s="12" t="s">
        <v>1687</v>
      </c>
      <c r="C152" s="12" t="s">
        <v>1582</v>
      </c>
      <c r="D152" s="12" t="s">
        <v>1688</v>
      </c>
      <c r="E152" s="13">
        <v>1688</v>
      </c>
    </row>
    <row r="153" spans="2:5" ht="12.75">
      <c r="B153" s="12" t="s">
        <v>1689</v>
      </c>
      <c r="C153" s="12" t="s">
        <v>1582</v>
      </c>
      <c r="D153" s="12" t="s">
        <v>1690</v>
      </c>
      <c r="E153" s="13">
        <v>3153.73</v>
      </c>
    </row>
    <row r="154" spans="2:5" ht="12.75">
      <c r="B154" s="12" t="s">
        <v>1691</v>
      </c>
      <c r="C154" s="12" t="s">
        <v>1582</v>
      </c>
      <c r="D154" s="12" t="s">
        <v>1692</v>
      </c>
      <c r="E154" s="13">
        <v>1799.4</v>
      </c>
    </row>
    <row r="155" spans="2:5" ht="12.75">
      <c r="B155" s="12" t="s">
        <v>1693</v>
      </c>
      <c r="C155" s="12" t="s">
        <v>1582</v>
      </c>
      <c r="D155" s="12" t="s">
        <v>1694</v>
      </c>
      <c r="E155" s="13">
        <v>4671.74</v>
      </c>
    </row>
    <row r="156" spans="2:5" ht="12.75">
      <c r="B156" s="12"/>
      <c r="C156" s="12" t="s">
        <v>1582</v>
      </c>
      <c r="D156" s="12" t="s">
        <v>144</v>
      </c>
      <c r="E156" s="13">
        <v>8345.51</v>
      </c>
    </row>
    <row r="157" spans="2:5" ht="12.75">
      <c r="B157" s="12" t="s">
        <v>1695</v>
      </c>
      <c r="C157" s="12" t="s">
        <v>1583</v>
      </c>
      <c r="D157" s="12" t="s">
        <v>1696</v>
      </c>
      <c r="E157" s="13">
        <v>2165.35</v>
      </c>
    </row>
    <row r="158" spans="2:5" ht="12.75">
      <c r="B158" s="12" t="s">
        <v>1697</v>
      </c>
      <c r="C158" s="12" t="s">
        <v>1583</v>
      </c>
      <c r="D158" s="12" t="s">
        <v>1698</v>
      </c>
      <c r="E158" s="13">
        <v>43817</v>
      </c>
    </row>
    <row r="159" spans="2:5" ht="12.75">
      <c r="B159" s="12" t="s">
        <v>42</v>
      </c>
      <c r="C159" s="12" t="s">
        <v>1583</v>
      </c>
      <c r="D159" s="12" t="s">
        <v>1699</v>
      </c>
      <c r="E159" s="13">
        <v>3262.36</v>
      </c>
    </row>
    <row r="160" spans="2:5" ht="12.75">
      <c r="B160" s="12" t="s">
        <v>43</v>
      </c>
      <c r="C160" s="12" t="s">
        <v>1583</v>
      </c>
      <c r="D160" s="12" t="s">
        <v>1700</v>
      </c>
      <c r="E160" s="13">
        <v>10.35</v>
      </c>
    </row>
    <row r="161" spans="2:5" ht="12.75">
      <c r="B161" s="12" t="s">
        <v>251</v>
      </c>
      <c r="C161" s="12" t="s">
        <v>1583</v>
      </c>
      <c r="D161" s="12" t="s">
        <v>252</v>
      </c>
      <c r="E161" s="13">
        <v>45086</v>
      </c>
    </row>
    <row r="162" spans="2:5" ht="12.75">
      <c r="B162" s="12" t="s">
        <v>253</v>
      </c>
      <c r="C162" s="12" t="s">
        <v>1583</v>
      </c>
      <c r="D162" s="12" t="s">
        <v>254</v>
      </c>
      <c r="E162" s="13">
        <v>22533</v>
      </c>
    </row>
    <row r="163" spans="2:5" ht="12.75">
      <c r="B163" s="12" t="s">
        <v>52</v>
      </c>
      <c r="C163" s="12" t="s">
        <v>1583</v>
      </c>
      <c r="D163" s="12" t="s">
        <v>141</v>
      </c>
      <c r="E163" s="13">
        <v>364.08</v>
      </c>
    </row>
    <row r="164" spans="2:5" ht="12.75">
      <c r="B164" s="12"/>
      <c r="C164" s="12" t="s">
        <v>1583</v>
      </c>
      <c r="D164" s="12" t="s">
        <v>144</v>
      </c>
      <c r="E164" s="13">
        <v>8345.51</v>
      </c>
    </row>
    <row r="165" spans="2:5" ht="12.75">
      <c r="B165" s="12"/>
      <c r="C165" s="12" t="s">
        <v>1583</v>
      </c>
      <c r="D165" s="12" t="s">
        <v>144</v>
      </c>
      <c r="E165" s="13">
        <v>8345.51</v>
      </c>
    </row>
    <row r="166" spans="2:5" ht="12.75">
      <c r="B166" s="12"/>
      <c r="C166" s="12" t="s">
        <v>1584</v>
      </c>
      <c r="D166" s="12" t="s">
        <v>144</v>
      </c>
      <c r="E166" s="13">
        <v>8345.51</v>
      </c>
    </row>
    <row r="167" spans="2:5" ht="12.75">
      <c r="B167" s="12" t="s">
        <v>142</v>
      </c>
      <c r="C167" s="12" t="s">
        <v>1585</v>
      </c>
      <c r="D167" s="12" t="s">
        <v>63</v>
      </c>
      <c r="E167" s="13">
        <v>10320.58</v>
      </c>
    </row>
    <row r="168" spans="2:5" ht="12.75">
      <c r="B168" s="12"/>
      <c r="C168" s="12" t="s">
        <v>1585</v>
      </c>
      <c r="D168" s="12" t="s">
        <v>143</v>
      </c>
      <c r="E168" s="13">
        <v>10584</v>
      </c>
    </row>
    <row r="169" spans="2:5" ht="12.75">
      <c r="B169" s="12"/>
      <c r="C169" s="12" t="s">
        <v>1585</v>
      </c>
      <c r="D169" s="12" t="s">
        <v>144</v>
      </c>
      <c r="E169" s="13">
        <v>8345.51</v>
      </c>
    </row>
    <row r="170" spans="2:5" ht="12.75">
      <c r="B170" s="12"/>
      <c r="C170" s="12"/>
      <c r="D170" s="12" t="s">
        <v>59</v>
      </c>
      <c r="E170" s="13">
        <v>38773.35</v>
      </c>
    </row>
    <row r="171" spans="2:5" ht="12.75">
      <c r="B171" s="12"/>
      <c r="C171" s="12"/>
      <c r="D171" s="12" t="s">
        <v>58</v>
      </c>
      <c r="E171" s="13">
        <v>23264.01</v>
      </c>
    </row>
    <row r="172" spans="2:5" ht="12.75">
      <c r="B172" s="12"/>
      <c r="C172" s="12"/>
      <c r="D172" s="12" t="s">
        <v>1714</v>
      </c>
      <c r="E172" s="12">
        <v>36114.61</v>
      </c>
    </row>
    <row r="173" spans="2:5" ht="12.75">
      <c r="B173" s="12"/>
      <c r="C173" s="12"/>
      <c r="D173" s="12" t="s">
        <v>0</v>
      </c>
      <c r="E173" s="12">
        <v>2437.18</v>
      </c>
    </row>
    <row r="174" spans="2:5" ht="12.75">
      <c r="B174" s="12"/>
      <c r="C174" s="12"/>
      <c r="D174" s="12" t="s">
        <v>694</v>
      </c>
      <c r="E174" s="12">
        <v>46554.61</v>
      </c>
    </row>
    <row r="175" spans="2:5" ht="12.75">
      <c r="B175" s="12"/>
      <c r="C175" s="12" t="s">
        <v>60</v>
      </c>
      <c r="D175" s="12"/>
      <c r="E175" s="30">
        <f>SUM(E122:E174)</f>
        <v>303600.3141600002</v>
      </c>
    </row>
    <row r="176" spans="2:5" ht="12.75">
      <c r="B176" s="12"/>
      <c r="C176" s="12"/>
      <c r="D176" s="12" t="s">
        <v>688</v>
      </c>
      <c r="E176" s="12">
        <v>394380.36</v>
      </c>
    </row>
    <row r="177" spans="2:5" ht="12.75">
      <c r="B177" s="12"/>
      <c r="C177" s="12"/>
      <c r="D177" s="12" t="s">
        <v>689</v>
      </c>
      <c r="E177" s="12">
        <v>57606.12</v>
      </c>
    </row>
    <row r="178" spans="2:5" ht="12.75">
      <c r="B178" s="12"/>
      <c r="C178" s="12"/>
      <c r="D178" s="12" t="s">
        <v>690</v>
      </c>
      <c r="E178" s="12">
        <v>355754.73</v>
      </c>
    </row>
    <row r="179" spans="2:5" ht="12.75">
      <c r="B179" s="12"/>
      <c r="C179" s="12"/>
      <c r="D179" s="12" t="s">
        <v>691</v>
      </c>
      <c r="E179" s="12">
        <v>51964.17</v>
      </c>
    </row>
    <row r="180" spans="2:5" ht="12.75">
      <c r="B180" s="12"/>
      <c r="C180" s="12"/>
      <c r="D180" s="12" t="s">
        <v>692</v>
      </c>
      <c r="E180" s="12">
        <f>E176-E178</f>
        <v>38625.630000000005</v>
      </c>
    </row>
    <row r="181" spans="2:5" ht="12.75">
      <c r="B181" s="12"/>
      <c r="C181" s="12"/>
      <c r="D181" s="12" t="s">
        <v>693</v>
      </c>
      <c r="E181" s="12">
        <f>E177-E179</f>
        <v>5641.950000000004</v>
      </c>
    </row>
    <row r="182" spans="2:5" ht="12.75">
      <c r="B182" s="12"/>
      <c r="C182" s="12"/>
      <c r="D182" s="12"/>
      <c r="E182" s="12"/>
    </row>
    <row r="183" spans="2:5" ht="12.75">
      <c r="B183" s="12"/>
      <c r="C183" s="12"/>
      <c r="D183" s="12"/>
      <c r="E183" s="12"/>
    </row>
    <row r="184" spans="2:5" ht="12.75">
      <c r="B184" s="12"/>
      <c r="C184" s="12"/>
      <c r="D184" s="31" t="s">
        <v>695</v>
      </c>
      <c r="E184" s="10">
        <f>E175-E178-E179</f>
        <v>-104118.5858399998</v>
      </c>
    </row>
  </sheetData>
  <sheetProtection/>
  <mergeCells count="42">
    <mergeCell ref="A63:D63"/>
    <mergeCell ref="A67:D67"/>
    <mergeCell ref="A112:D112"/>
    <mergeCell ref="A80:D80"/>
    <mergeCell ref="A81:D81"/>
    <mergeCell ref="A98:D98"/>
    <mergeCell ref="A100:D100"/>
    <mergeCell ref="A107:D107"/>
    <mergeCell ref="A111:D111"/>
    <mergeCell ref="A1:E1"/>
    <mergeCell ref="A4:D4"/>
    <mergeCell ref="A6:D6"/>
    <mergeCell ref="A8:D8"/>
    <mergeCell ref="A52:D52"/>
    <mergeCell ref="A61:D61"/>
    <mergeCell ref="A21:D21"/>
    <mergeCell ref="A25:D25"/>
    <mergeCell ref="B129:D129"/>
    <mergeCell ref="B121:D121"/>
    <mergeCell ref="B122:D122"/>
    <mergeCell ref="B123:D123"/>
    <mergeCell ref="B124:D124"/>
    <mergeCell ref="B127:D127"/>
    <mergeCell ref="B126:D126"/>
    <mergeCell ref="B118:D118"/>
    <mergeCell ref="B115:D115"/>
    <mergeCell ref="B128:D128"/>
    <mergeCell ref="B116:D116"/>
    <mergeCell ref="B120:D120"/>
    <mergeCell ref="B125:D125"/>
    <mergeCell ref="B117:D117"/>
    <mergeCell ref="B119:D119"/>
    <mergeCell ref="B114:D114"/>
    <mergeCell ref="B3:C3"/>
    <mergeCell ref="B24:C24"/>
    <mergeCell ref="B113:D113"/>
    <mergeCell ref="B12:D12"/>
    <mergeCell ref="A11:D11"/>
    <mergeCell ref="A16:D16"/>
    <mergeCell ref="A18:D18"/>
    <mergeCell ref="A33:D33"/>
    <mergeCell ref="A39:D39"/>
  </mergeCells>
  <printOptions/>
  <pageMargins left="0.31496062992125984" right="0.16" top="0.2755905511811024" bottom="0.1968503937007874" header="0.15748031496062992" footer="0.1968503937007874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42"/>
  <sheetViews>
    <sheetView zoomScalePageLayoutView="0" workbookViewId="0" topLeftCell="A22">
      <selection activeCell="D18" sqref="D18"/>
    </sheetView>
  </sheetViews>
  <sheetFormatPr defaultColWidth="13.421875" defaultRowHeight="12.75" outlineLevelRow="2"/>
  <cols>
    <col min="1" max="1" width="2.421875" style="1" customWidth="1"/>
    <col min="2" max="2" width="16.8515625" style="1" customWidth="1"/>
    <col min="3" max="3" width="10.28125" style="1" customWidth="1"/>
    <col min="4" max="4" width="83.00390625" style="1" customWidth="1"/>
    <col min="5" max="5" width="14.71093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4.25">
      <c r="A1" s="388" t="s">
        <v>1875</v>
      </c>
      <c r="B1" s="389"/>
      <c r="C1" s="389"/>
      <c r="D1" s="389"/>
      <c r="E1" s="390"/>
    </row>
    <row r="2" spans="1:5" ht="15" thickBot="1">
      <c r="A2" s="181"/>
      <c r="B2" s="181"/>
      <c r="C2" s="181"/>
      <c r="D2" s="181"/>
      <c r="E2" s="181"/>
    </row>
    <row r="3" spans="1:6" ht="30">
      <c r="A3" s="42"/>
      <c r="B3" s="133" t="s">
        <v>1570</v>
      </c>
      <c r="C3" s="134" t="s">
        <v>1571</v>
      </c>
      <c r="D3" s="113" t="s">
        <v>1572</v>
      </c>
      <c r="E3" s="135" t="s">
        <v>1573</v>
      </c>
      <c r="F3" s="6"/>
    </row>
    <row r="4" spans="1:5" ht="15">
      <c r="A4" s="91"/>
      <c r="B4" s="308"/>
      <c r="C4" s="308"/>
      <c r="D4" s="155" t="s">
        <v>1575</v>
      </c>
      <c r="E4" s="130">
        <f>E5+E7+E10</f>
        <v>60748.350000000006</v>
      </c>
    </row>
    <row r="5" spans="1:5" ht="15.75" customHeight="1" outlineLevel="1">
      <c r="A5" s="255" t="s">
        <v>1594</v>
      </c>
      <c r="B5" s="256"/>
      <c r="C5" s="256"/>
      <c r="D5" s="257"/>
      <c r="E5" s="105">
        <f>SUM(E6:E6)</f>
        <v>22110</v>
      </c>
    </row>
    <row r="6" spans="1:6" ht="15" outlineLevel="2">
      <c r="A6" s="81"/>
      <c r="B6" s="84" t="s">
        <v>1380</v>
      </c>
      <c r="C6" s="84" t="s">
        <v>1583</v>
      </c>
      <c r="D6" s="84" t="s">
        <v>1379</v>
      </c>
      <c r="E6" s="106">
        <v>22110</v>
      </c>
      <c r="F6" s="14"/>
    </row>
    <row r="7" spans="1:5" ht="14.25" customHeight="1" outlineLevel="1">
      <c r="A7" s="255" t="s">
        <v>1595</v>
      </c>
      <c r="B7" s="256"/>
      <c r="C7" s="256"/>
      <c r="D7" s="257"/>
      <c r="E7" s="105">
        <f>SUM(E8:E9)</f>
        <v>9899.19</v>
      </c>
    </row>
    <row r="8" spans="1:6" ht="15" outlineLevel="2">
      <c r="A8" s="81"/>
      <c r="B8" s="83" t="s">
        <v>897</v>
      </c>
      <c r="C8" s="83" t="s">
        <v>1580</v>
      </c>
      <c r="D8" s="83" t="s">
        <v>898</v>
      </c>
      <c r="E8" s="106">
        <v>3406.92</v>
      </c>
      <c r="F8" s="14"/>
    </row>
    <row r="9" spans="1:6" ht="15" outlineLevel="2">
      <c r="A9" s="81"/>
      <c r="B9" s="84" t="s">
        <v>1201</v>
      </c>
      <c r="C9" s="84" t="s">
        <v>1582</v>
      </c>
      <c r="D9" s="84" t="s">
        <v>1200</v>
      </c>
      <c r="E9" s="106">
        <v>6492.27</v>
      </c>
      <c r="F9" s="14"/>
    </row>
    <row r="10" spans="1:5" ht="14.25" customHeight="1" outlineLevel="1">
      <c r="A10" s="255" t="s">
        <v>1599</v>
      </c>
      <c r="B10" s="256"/>
      <c r="C10" s="256"/>
      <c r="D10" s="257"/>
      <c r="E10" s="105">
        <f>SUM(E11:E11)</f>
        <v>28739.16</v>
      </c>
    </row>
    <row r="11" spans="1:6" ht="15" outlineLevel="2">
      <c r="A11" s="42"/>
      <c r="B11" s="84" t="s">
        <v>2349</v>
      </c>
      <c r="C11" s="84" t="s">
        <v>1579</v>
      </c>
      <c r="D11" s="84" t="s">
        <v>2351</v>
      </c>
      <c r="E11" s="106">
        <v>28739.16</v>
      </c>
      <c r="F11" s="14"/>
    </row>
    <row r="12" spans="1:5" ht="13.5" customHeight="1">
      <c r="A12" s="91"/>
      <c r="B12" s="308"/>
      <c r="C12" s="308"/>
      <c r="D12" s="155" t="s">
        <v>1600</v>
      </c>
      <c r="E12" s="130">
        <f>E13+E23+E28+E41+E54+E57+E65+E78+E79+E84+E86+E94+E101+E102</f>
        <v>510943.5839999999</v>
      </c>
    </row>
    <row r="13" spans="1:5" ht="15" outlineLevel="1">
      <c r="A13" s="255" t="s">
        <v>1576</v>
      </c>
      <c r="B13" s="256"/>
      <c r="C13" s="256"/>
      <c r="D13" s="257"/>
      <c r="E13" s="105">
        <f>SUM(E14:E22)</f>
        <v>13802.79</v>
      </c>
    </row>
    <row r="14" spans="1:6" ht="15" outlineLevel="2">
      <c r="A14" s="42"/>
      <c r="B14" s="83" t="s">
        <v>14</v>
      </c>
      <c r="C14" s="83" t="s">
        <v>1579</v>
      </c>
      <c r="D14" s="83" t="s">
        <v>2172</v>
      </c>
      <c r="E14" s="106">
        <v>615.5</v>
      </c>
      <c r="F14" s="14"/>
    </row>
    <row r="15" spans="1:6" ht="15" outlineLevel="2">
      <c r="A15" s="42"/>
      <c r="B15" s="83" t="s">
        <v>878</v>
      </c>
      <c r="C15" s="83" t="s">
        <v>1579</v>
      </c>
      <c r="D15" s="83" t="s">
        <v>2307</v>
      </c>
      <c r="E15" s="106">
        <v>247.5</v>
      </c>
      <c r="F15" s="14"/>
    </row>
    <row r="16" spans="1:6" ht="15" outlineLevel="2">
      <c r="A16" s="42"/>
      <c r="B16" s="83" t="s">
        <v>2</v>
      </c>
      <c r="C16" s="83" t="s">
        <v>1580</v>
      </c>
      <c r="D16" s="83" t="s">
        <v>2277</v>
      </c>
      <c r="E16" s="106">
        <v>65.07</v>
      </c>
      <c r="F16" s="14"/>
    </row>
    <row r="17" spans="1:6" ht="15" outlineLevel="2">
      <c r="A17" s="42"/>
      <c r="B17" s="83" t="s">
        <v>1708</v>
      </c>
      <c r="C17" s="83" t="s">
        <v>1581</v>
      </c>
      <c r="D17" s="83" t="s">
        <v>70</v>
      </c>
      <c r="E17" s="106">
        <v>476.97</v>
      </c>
      <c r="F17" s="14"/>
    </row>
    <row r="18" spans="1:6" ht="15" outlineLevel="2">
      <c r="A18" s="42"/>
      <c r="B18" s="83" t="s">
        <v>1689</v>
      </c>
      <c r="C18" s="83" t="s">
        <v>1582</v>
      </c>
      <c r="D18" s="83" t="s">
        <v>304</v>
      </c>
      <c r="E18" s="106">
        <v>5753.32</v>
      </c>
      <c r="F18" s="14"/>
    </row>
    <row r="19" spans="1:6" ht="30.75" customHeight="1" outlineLevel="2">
      <c r="A19" s="42"/>
      <c r="B19" s="83" t="s">
        <v>508</v>
      </c>
      <c r="C19" s="83" t="s">
        <v>1582</v>
      </c>
      <c r="D19" s="83" t="s">
        <v>509</v>
      </c>
      <c r="E19" s="106">
        <v>592.54</v>
      </c>
      <c r="F19" s="14"/>
    </row>
    <row r="20" spans="1:6" ht="15" outlineLevel="2">
      <c r="A20" s="42"/>
      <c r="B20" s="83" t="s">
        <v>42</v>
      </c>
      <c r="C20" s="83" t="s">
        <v>1583</v>
      </c>
      <c r="D20" s="83" t="s">
        <v>162</v>
      </c>
      <c r="E20" s="106">
        <v>2580.68</v>
      </c>
      <c r="F20" s="14"/>
    </row>
    <row r="21" spans="1:6" ht="62.25" customHeight="1" outlineLevel="2">
      <c r="A21" s="42"/>
      <c r="B21" s="83" t="s">
        <v>714</v>
      </c>
      <c r="C21" s="83" t="s">
        <v>854</v>
      </c>
      <c r="D21" s="83" t="s">
        <v>509</v>
      </c>
      <c r="E21" s="106">
        <v>3230.76</v>
      </c>
      <c r="F21" s="14"/>
    </row>
    <row r="22" spans="1:6" ht="15" outlineLevel="2">
      <c r="A22" s="42"/>
      <c r="B22" s="83" t="s">
        <v>2</v>
      </c>
      <c r="C22" s="83" t="s">
        <v>1583</v>
      </c>
      <c r="D22" s="83" t="s">
        <v>855</v>
      </c>
      <c r="E22" s="106">
        <v>240.45</v>
      </c>
      <c r="F22" s="14"/>
    </row>
    <row r="23" spans="1:5" ht="15" outlineLevel="1">
      <c r="A23" s="255" t="s">
        <v>1589</v>
      </c>
      <c r="B23" s="256"/>
      <c r="C23" s="256"/>
      <c r="D23" s="257"/>
      <c r="E23" s="105">
        <f>SUM(E24:E27)</f>
        <v>29993.53</v>
      </c>
    </row>
    <row r="24" spans="1:6" ht="30" outlineLevel="2">
      <c r="A24" s="42"/>
      <c r="B24" s="83" t="s">
        <v>8</v>
      </c>
      <c r="C24" s="83" t="s">
        <v>1578</v>
      </c>
      <c r="D24" s="83" t="s">
        <v>849</v>
      </c>
      <c r="E24" s="106">
        <v>305.32</v>
      </c>
      <c r="F24" s="14"/>
    </row>
    <row r="25" spans="1:6" ht="15" outlineLevel="2">
      <c r="A25" s="42"/>
      <c r="B25" s="83" t="s">
        <v>163</v>
      </c>
      <c r="C25" s="83" t="s">
        <v>1583</v>
      </c>
      <c r="D25" s="83" t="s">
        <v>167</v>
      </c>
      <c r="E25" s="106">
        <v>11730.73</v>
      </c>
      <c r="F25" s="14"/>
    </row>
    <row r="26" spans="1:6" ht="30.75" customHeight="1" outlineLevel="2">
      <c r="A26" s="42"/>
      <c r="B26" s="83" t="s">
        <v>808</v>
      </c>
      <c r="C26" s="83" t="s">
        <v>1587</v>
      </c>
      <c r="D26" s="83" t="s">
        <v>903</v>
      </c>
      <c r="E26" s="106">
        <v>17913.48</v>
      </c>
      <c r="F26" s="14"/>
    </row>
    <row r="27" spans="1:6" ht="15" outlineLevel="2">
      <c r="A27" s="42"/>
      <c r="B27" s="83" t="s">
        <v>1072</v>
      </c>
      <c r="C27" s="83" t="s">
        <v>1588</v>
      </c>
      <c r="D27" s="83" t="s">
        <v>1073</v>
      </c>
      <c r="E27" s="106">
        <v>44</v>
      </c>
      <c r="F27" s="14"/>
    </row>
    <row r="28" spans="1:5" ht="13.5" customHeight="1" outlineLevel="1">
      <c r="A28" s="255" t="s">
        <v>1590</v>
      </c>
      <c r="B28" s="256"/>
      <c r="C28" s="256"/>
      <c r="D28" s="257"/>
      <c r="E28" s="105">
        <f>SUM(E29:E40)</f>
        <v>45893.67</v>
      </c>
    </row>
    <row r="29" spans="1:6" ht="15" outlineLevel="2">
      <c r="A29" s="42"/>
      <c r="B29" s="87" t="s">
        <v>137</v>
      </c>
      <c r="C29" s="83" t="s">
        <v>1580</v>
      </c>
      <c r="D29" s="83" t="s">
        <v>1121</v>
      </c>
      <c r="E29" s="106">
        <v>257.59</v>
      </c>
      <c r="F29" s="14"/>
    </row>
    <row r="30" spans="1:6" ht="15" outlineLevel="2">
      <c r="A30" s="42"/>
      <c r="B30" s="87" t="s">
        <v>1249</v>
      </c>
      <c r="C30" s="83" t="s">
        <v>1581</v>
      </c>
      <c r="D30" s="83" t="s">
        <v>2012</v>
      </c>
      <c r="E30" s="106">
        <v>3760.17</v>
      </c>
      <c r="F30" s="14"/>
    </row>
    <row r="31" spans="1:6" ht="15" outlineLevel="2">
      <c r="A31" s="42"/>
      <c r="B31" s="87" t="s">
        <v>1494</v>
      </c>
      <c r="C31" s="83" t="s">
        <v>1581</v>
      </c>
      <c r="D31" s="83" t="s">
        <v>71</v>
      </c>
      <c r="E31" s="106">
        <v>83.03</v>
      </c>
      <c r="F31" s="14"/>
    </row>
    <row r="32" spans="1:6" ht="15" outlineLevel="2">
      <c r="A32" s="42"/>
      <c r="B32" s="87" t="s">
        <v>2</v>
      </c>
      <c r="C32" s="83" t="s">
        <v>57</v>
      </c>
      <c r="D32" s="83" t="s">
        <v>940</v>
      </c>
      <c r="E32" s="106">
        <v>165.51</v>
      </c>
      <c r="F32" s="14"/>
    </row>
    <row r="33" spans="1:6" ht="15" outlineLevel="2">
      <c r="A33" s="42"/>
      <c r="B33" s="87" t="s">
        <v>2</v>
      </c>
      <c r="C33" s="83" t="s">
        <v>1583</v>
      </c>
      <c r="D33" s="83" t="s">
        <v>760</v>
      </c>
      <c r="E33" s="106">
        <v>15876</v>
      </c>
      <c r="F33" s="14"/>
    </row>
    <row r="34" spans="1:6" ht="15" outlineLevel="2">
      <c r="A34" s="42"/>
      <c r="B34" s="87" t="s">
        <v>582</v>
      </c>
      <c r="C34" s="83" t="s">
        <v>1585</v>
      </c>
      <c r="D34" s="83" t="s">
        <v>657</v>
      </c>
      <c r="E34" s="106">
        <v>12401</v>
      </c>
      <c r="F34" s="14"/>
    </row>
    <row r="35" spans="1:6" ht="15" outlineLevel="2">
      <c r="A35" s="42"/>
      <c r="B35" s="87" t="s">
        <v>2014</v>
      </c>
      <c r="C35" s="83" t="s">
        <v>1586</v>
      </c>
      <c r="D35" s="83" t="s">
        <v>2015</v>
      </c>
      <c r="E35" s="106">
        <v>1089.49</v>
      </c>
      <c r="F35" s="14"/>
    </row>
    <row r="36" spans="1:6" ht="14.25" customHeight="1" outlineLevel="2">
      <c r="A36" s="42"/>
      <c r="B36" s="87" t="s">
        <v>247</v>
      </c>
      <c r="C36" s="83" t="s">
        <v>1586</v>
      </c>
      <c r="D36" s="83" t="s">
        <v>248</v>
      </c>
      <c r="E36" s="106">
        <v>3598</v>
      </c>
      <c r="F36" s="14"/>
    </row>
    <row r="37" spans="1:6" ht="15" customHeight="1" outlineLevel="2">
      <c r="A37" s="42"/>
      <c r="B37" s="87" t="s">
        <v>192</v>
      </c>
      <c r="C37" s="83" t="s">
        <v>1586</v>
      </c>
      <c r="D37" s="83" t="s">
        <v>783</v>
      </c>
      <c r="E37" s="106">
        <v>4411.95</v>
      </c>
      <c r="F37" s="14"/>
    </row>
    <row r="38" spans="1:6" ht="15" outlineLevel="2">
      <c r="A38" s="42"/>
      <c r="B38" s="87" t="s">
        <v>1273</v>
      </c>
      <c r="C38" s="83" t="s">
        <v>1587</v>
      </c>
      <c r="D38" s="83" t="s">
        <v>1274</v>
      </c>
      <c r="E38" s="106">
        <v>4115.87</v>
      </c>
      <c r="F38" s="14"/>
    </row>
    <row r="39" spans="1:6" ht="15" outlineLevel="2">
      <c r="A39" s="42"/>
      <c r="B39" s="87" t="s">
        <v>296</v>
      </c>
      <c r="C39" s="83" t="s">
        <v>1587</v>
      </c>
      <c r="D39" s="83" t="s">
        <v>294</v>
      </c>
      <c r="E39" s="106">
        <v>91.06</v>
      </c>
      <c r="F39" s="14"/>
    </row>
    <row r="40" spans="1:6" ht="15" outlineLevel="2">
      <c r="A40" s="42"/>
      <c r="B40" s="87" t="s">
        <v>2</v>
      </c>
      <c r="C40" s="83" t="s">
        <v>1588</v>
      </c>
      <c r="D40" s="83" t="s">
        <v>294</v>
      </c>
      <c r="E40" s="106">
        <v>44</v>
      </c>
      <c r="F40" s="14"/>
    </row>
    <row r="41" spans="1:5" ht="12.75" customHeight="1" outlineLevel="1">
      <c r="A41" s="255" t="s">
        <v>1591</v>
      </c>
      <c r="B41" s="256"/>
      <c r="C41" s="256"/>
      <c r="D41" s="257"/>
      <c r="E41" s="105">
        <f>SUM(E42:E53)</f>
        <v>23427.25</v>
      </c>
    </row>
    <row r="42" spans="1:6" ht="15.75" customHeight="1" outlineLevel="2">
      <c r="A42" s="42"/>
      <c r="B42" s="87" t="s">
        <v>661</v>
      </c>
      <c r="C42" s="83" t="s">
        <v>1578</v>
      </c>
      <c r="D42" s="83" t="s">
        <v>662</v>
      </c>
      <c r="E42" s="106">
        <v>3939.15</v>
      </c>
      <c r="F42" s="14"/>
    </row>
    <row r="43" spans="1:6" ht="15" outlineLevel="2">
      <c r="A43" s="42"/>
      <c r="B43" s="87" t="s">
        <v>128</v>
      </c>
      <c r="C43" s="83" t="s">
        <v>1578</v>
      </c>
      <c r="D43" s="83" t="s">
        <v>469</v>
      </c>
      <c r="E43" s="106">
        <v>685.87</v>
      </c>
      <c r="F43" s="14"/>
    </row>
    <row r="44" spans="1:6" ht="15" outlineLevel="2">
      <c r="A44" s="42"/>
      <c r="B44" s="87" t="s">
        <v>1064</v>
      </c>
      <c r="C44" s="83" t="s">
        <v>1579</v>
      </c>
      <c r="D44" s="83" t="s">
        <v>925</v>
      </c>
      <c r="E44" s="106">
        <v>1619.7</v>
      </c>
      <c r="F44" s="14"/>
    </row>
    <row r="45" spans="1:6" ht="15" outlineLevel="2">
      <c r="A45" s="42"/>
      <c r="B45" s="87" t="s">
        <v>1992</v>
      </c>
      <c r="C45" s="83" t="s">
        <v>1579</v>
      </c>
      <c r="D45" s="83" t="s">
        <v>1609</v>
      </c>
      <c r="E45" s="106">
        <v>274.45</v>
      </c>
      <c r="F45" s="14"/>
    </row>
    <row r="46" spans="1:6" ht="15" outlineLevel="2">
      <c r="A46" s="42"/>
      <c r="B46" s="87" t="s">
        <v>879</v>
      </c>
      <c r="C46" s="83" t="s">
        <v>1579</v>
      </c>
      <c r="D46" s="83" t="s">
        <v>317</v>
      </c>
      <c r="E46" s="106">
        <v>713.75</v>
      </c>
      <c r="F46" s="14"/>
    </row>
    <row r="47" spans="1:6" ht="15" outlineLevel="2">
      <c r="A47" s="42"/>
      <c r="B47" s="87" t="s">
        <v>425</v>
      </c>
      <c r="C47" s="83" t="s">
        <v>1579</v>
      </c>
      <c r="D47" s="83" t="s">
        <v>210</v>
      </c>
      <c r="E47" s="106">
        <v>7402.43</v>
      </c>
      <c r="F47" s="14"/>
    </row>
    <row r="48" spans="1:6" ht="15" outlineLevel="2">
      <c r="A48" s="42"/>
      <c r="B48" s="87" t="s">
        <v>484</v>
      </c>
      <c r="C48" s="83" t="s">
        <v>1580</v>
      </c>
      <c r="D48" s="83" t="s">
        <v>830</v>
      </c>
      <c r="E48" s="106">
        <v>526.2</v>
      </c>
      <c r="F48" s="14"/>
    </row>
    <row r="49" spans="1:6" ht="15" outlineLevel="2">
      <c r="A49" s="42"/>
      <c r="B49" s="87" t="s">
        <v>93</v>
      </c>
      <c r="C49" s="83" t="s">
        <v>1580</v>
      </c>
      <c r="D49" s="83" t="s">
        <v>925</v>
      </c>
      <c r="E49" s="106">
        <v>888.11</v>
      </c>
      <c r="F49" s="14"/>
    </row>
    <row r="50" spans="1:6" ht="15" outlineLevel="2">
      <c r="A50" s="42"/>
      <c r="B50" s="87" t="s">
        <v>100</v>
      </c>
      <c r="C50" s="83" t="s">
        <v>1581</v>
      </c>
      <c r="D50" s="83" t="s">
        <v>616</v>
      </c>
      <c r="E50" s="106">
        <v>2108.99</v>
      </c>
      <c r="F50" s="14"/>
    </row>
    <row r="51" spans="1:6" ht="15" outlineLevel="2">
      <c r="A51" s="42"/>
      <c r="B51" s="87" t="s">
        <v>102</v>
      </c>
      <c r="C51" s="83" t="s">
        <v>1582</v>
      </c>
      <c r="D51" s="83" t="s">
        <v>1088</v>
      </c>
      <c r="E51" s="106">
        <v>1283.39</v>
      </c>
      <c r="F51" s="14"/>
    </row>
    <row r="52" spans="1:6" ht="15" outlineLevel="2">
      <c r="A52" s="42"/>
      <c r="B52" s="87" t="s">
        <v>41</v>
      </c>
      <c r="C52" s="83" t="s">
        <v>1583</v>
      </c>
      <c r="D52" s="83" t="s">
        <v>1160</v>
      </c>
      <c r="E52" s="106">
        <v>1524.1</v>
      </c>
      <c r="F52" s="14"/>
    </row>
    <row r="53" spans="1:6" ht="15" outlineLevel="2">
      <c r="A53" s="42"/>
      <c r="B53" s="87" t="s">
        <v>750</v>
      </c>
      <c r="C53" s="83" t="s">
        <v>1587</v>
      </c>
      <c r="D53" s="83" t="s">
        <v>751</v>
      </c>
      <c r="E53" s="106">
        <v>2461.11</v>
      </c>
      <c r="F53" s="14"/>
    </row>
    <row r="54" spans="1:5" ht="15" customHeight="1" outlineLevel="1">
      <c r="A54" s="255" t="s">
        <v>1594</v>
      </c>
      <c r="B54" s="256"/>
      <c r="C54" s="256"/>
      <c r="D54" s="257"/>
      <c r="E54" s="105">
        <f>SUM(E55:E56)</f>
        <v>55209.77</v>
      </c>
    </row>
    <row r="55" spans="1:6" ht="15" outlineLevel="2">
      <c r="A55" s="141"/>
      <c r="B55" s="88" t="s">
        <v>301</v>
      </c>
      <c r="C55" s="82" t="s">
        <v>1577</v>
      </c>
      <c r="D55" s="82" t="s">
        <v>2148</v>
      </c>
      <c r="E55" s="106">
        <v>988.77</v>
      </c>
      <c r="F55" s="14"/>
    </row>
    <row r="56" spans="1:6" ht="15" outlineLevel="2">
      <c r="A56" s="42"/>
      <c r="B56" s="87" t="s">
        <v>2484</v>
      </c>
      <c r="C56" s="83" t="s">
        <v>1585</v>
      </c>
      <c r="D56" s="83" t="s">
        <v>72</v>
      </c>
      <c r="E56" s="106">
        <v>54221</v>
      </c>
      <c r="F56" s="14"/>
    </row>
    <row r="57" spans="1:5" ht="15" customHeight="1" outlineLevel="1">
      <c r="A57" s="255" t="s">
        <v>1599</v>
      </c>
      <c r="B57" s="256"/>
      <c r="C57" s="256"/>
      <c r="D57" s="257"/>
      <c r="E57" s="105">
        <f>SUM(E58:E64)</f>
        <v>33595.51</v>
      </c>
    </row>
    <row r="58" spans="1:6" ht="15" outlineLevel="2">
      <c r="A58" s="42"/>
      <c r="B58" s="83" t="s">
        <v>135</v>
      </c>
      <c r="C58" s="83" t="s">
        <v>1579</v>
      </c>
      <c r="D58" s="83" t="s">
        <v>2342</v>
      </c>
      <c r="E58" s="106">
        <v>58.15</v>
      </c>
      <c r="F58" s="14"/>
    </row>
    <row r="59" spans="1:6" ht="15" outlineLevel="2">
      <c r="A59" s="42"/>
      <c r="B59" s="83" t="s">
        <v>91</v>
      </c>
      <c r="C59" s="83" t="s">
        <v>1579</v>
      </c>
      <c r="D59" s="83" t="s">
        <v>2363</v>
      </c>
      <c r="E59" s="106">
        <v>439.93</v>
      </c>
      <c r="F59" s="14"/>
    </row>
    <row r="60" spans="1:6" ht="15" outlineLevel="2">
      <c r="A60" s="42"/>
      <c r="B60" s="83" t="s">
        <v>95</v>
      </c>
      <c r="C60" s="83" t="s">
        <v>1580</v>
      </c>
      <c r="D60" s="83" t="s">
        <v>1083</v>
      </c>
      <c r="E60" s="106">
        <v>1384.95</v>
      </c>
      <c r="F60" s="14"/>
    </row>
    <row r="61" spans="1:6" ht="15" outlineLevel="2">
      <c r="A61" s="42"/>
      <c r="B61" s="83" t="s">
        <v>1399</v>
      </c>
      <c r="C61" s="83" t="s">
        <v>1580</v>
      </c>
      <c r="D61" s="83" t="s">
        <v>1401</v>
      </c>
      <c r="E61" s="106">
        <v>4978.67</v>
      </c>
      <c r="F61" s="14"/>
    </row>
    <row r="62" spans="1:6" ht="15" outlineLevel="2">
      <c r="A62" s="42"/>
      <c r="B62" s="83" t="s">
        <v>1260</v>
      </c>
      <c r="C62" s="83" t="s">
        <v>1582</v>
      </c>
      <c r="D62" s="83" t="s">
        <v>2492</v>
      </c>
      <c r="E62" s="106">
        <v>530.07</v>
      </c>
      <c r="F62" s="14"/>
    </row>
    <row r="63" spans="1:6" ht="15" outlineLevel="2">
      <c r="A63" s="42"/>
      <c r="B63" s="83" t="s">
        <v>1429</v>
      </c>
      <c r="C63" s="83" t="s">
        <v>1585</v>
      </c>
      <c r="D63" s="83" t="s">
        <v>73</v>
      </c>
      <c r="E63" s="106">
        <v>18802.11</v>
      </c>
      <c r="F63" s="14"/>
    </row>
    <row r="64" spans="1:6" ht="15" outlineLevel="2">
      <c r="A64" s="42"/>
      <c r="B64" s="83" t="s">
        <v>1343</v>
      </c>
      <c r="C64" s="83" t="s">
        <v>1586</v>
      </c>
      <c r="D64" s="83" t="s">
        <v>1344</v>
      </c>
      <c r="E64" s="106">
        <v>7401.63</v>
      </c>
      <c r="F64" s="14"/>
    </row>
    <row r="65" spans="1:5" ht="15" customHeight="1" outlineLevel="1" collapsed="1">
      <c r="A65" s="255" t="s">
        <v>1713</v>
      </c>
      <c r="B65" s="256"/>
      <c r="C65" s="256"/>
      <c r="D65" s="257"/>
      <c r="E65" s="105">
        <f>SUM(E66:E77)</f>
        <v>191584.86000000004</v>
      </c>
    </row>
    <row r="66" spans="1:6" ht="15" customHeight="1" hidden="1" outlineLevel="2">
      <c r="A66" s="42"/>
      <c r="B66" s="82"/>
      <c r="C66" s="82" t="s">
        <v>1577</v>
      </c>
      <c r="D66" s="82" t="s">
        <v>1496</v>
      </c>
      <c r="E66" s="106">
        <v>16059.92</v>
      </c>
      <c r="F66" s="14"/>
    </row>
    <row r="67" spans="1:6" ht="15" customHeight="1" hidden="1" outlineLevel="2">
      <c r="A67" s="42"/>
      <c r="B67" s="83"/>
      <c r="C67" s="83" t="s">
        <v>1578</v>
      </c>
      <c r="D67" s="83" t="s">
        <v>1496</v>
      </c>
      <c r="E67" s="106">
        <v>16059.92</v>
      </c>
      <c r="F67" s="14"/>
    </row>
    <row r="68" spans="1:6" ht="15" customHeight="1" hidden="1" outlineLevel="2">
      <c r="A68" s="42"/>
      <c r="B68" s="83"/>
      <c r="C68" s="83" t="s">
        <v>1579</v>
      </c>
      <c r="D68" s="83" t="s">
        <v>1496</v>
      </c>
      <c r="E68" s="106">
        <v>16059.92</v>
      </c>
      <c r="F68" s="14"/>
    </row>
    <row r="69" spans="1:6" ht="15" customHeight="1" hidden="1" outlineLevel="2">
      <c r="A69" s="42"/>
      <c r="B69" s="83"/>
      <c r="C69" s="83" t="s">
        <v>1580</v>
      </c>
      <c r="D69" s="83" t="s">
        <v>1496</v>
      </c>
      <c r="E69" s="106">
        <v>16059.92</v>
      </c>
      <c r="F69" s="14"/>
    </row>
    <row r="70" spans="1:6" ht="15" customHeight="1" hidden="1" outlineLevel="2">
      <c r="A70" s="42"/>
      <c r="B70" s="83"/>
      <c r="C70" s="83" t="s">
        <v>1581</v>
      </c>
      <c r="D70" s="83" t="s">
        <v>1496</v>
      </c>
      <c r="E70" s="106">
        <v>14925.74</v>
      </c>
      <c r="F70" s="14"/>
    </row>
    <row r="71" spans="1:6" ht="15" customHeight="1" hidden="1" outlineLevel="2">
      <c r="A71" s="42"/>
      <c r="B71" s="83"/>
      <c r="C71" s="83" t="s">
        <v>1582</v>
      </c>
      <c r="D71" s="83" t="s">
        <v>1496</v>
      </c>
      <c r="E71" s="106">
        <v>16059.92</v>
      </c>
      <c r="F71" s="14"/>
    </row>
    <row r="72" spans="1:6" ht="15" customHeight="1" hidden="1" outlineLevel="2">
      <c r="A72" s="42"/>
      <c r="B72" s="83"/>
      <c r="C72" s="83" t="s">
        <v>1583</v>
      </c>
      <c r="D72" s="83" t="s">
        <v>1496</v>
      </c>
      <c r="E72" s="106">
        <v>16059.92</v>
      </c>
      <c r="F72" s="14"/>
    </row>
    <row r="73" spans="1:6" ht="15" customHeight="1" hidden="1" outlineLevel="2">
      <c r="A73" s="42"/>
      <c r="B73" s="83"/>
      <c r="C73" s="83" t="s">
        <v>1584</v>
      </c>
      <c r="D73" s="83" t="s">
        <v>1496</v>
      </c>
      <c r="E73" s="106">
        <v>16059.92</v>
      </c>
      <c r="F73" s="14"/>
    </row>
    <row r="74" spans="1:6" ht="15" customHeight="1" hidden="1" outlineLevel="2">
      <c r="A74" s="42"/>
      <c r="B74" s="83"/>
      <c r="C74" s="83" t="s">
        <v>1585</v>
      </c>
      <c r="D74" s="83" t="s">
        <v>1496</v>
      </c>
      <c r="E74" s="106">
        <v>16059.92</v>
      </c>
      <c r="F74" s="14"/>
    </row>
    <row r="75" spans="1:6" ht="15" customHeight="1" hidden="1" outlineLevel="2">
      <c r="A75" s="42"/>
      <c r="B75" s="83"/>
      <c r="C75" s="83" t="s">
        <v>1586</v>
      </c>
      <c r="D75" s="83" t="s">
        <v>1496</v>
      </c>
      <c r="E75" s="106">
        <v>16059.92</v>
      </c>
      <c r="F75" s="14"/>
    </row>
    <row r="76" spans="1:6" ht="15" customHeight="1" hidden="1" outlineLevel="2">
      <c r="A76" s="42"/>
      <c r="B76" s="83"/>
      <c r="C76" s="83" t="s">
        <v>1587</v>
      </c>
      <c r="D76" s="83" t="s">
        <v>1496</v>
      </c>
      <c r="E76" s="106">
        <v>16059.92</v>
      </c>
      <c r="F76" s="14"/>
    </row>
    <row r="77" spans="1:6" ht="15" customHeight="1" hidden="1" outlineLevel="2">
      <c r="A77" s="42"/>
      <c r="B77" s="89"/>
      <c r="C77" s="83" t="s">
        <v>1588</v>
      </c>
      <c r="D77" s="83" t="s">
        <v>1496</v>
      </c>
      <c r="E77" s="106">
        <v>16059.92</v>
      </c>
      <c r="F77" s="14"/>
    </row>
    <row r="78" spans="1:5" ht="15" customHeight="1" outlineLevel="1">
      <c r="A78" s="255" t="s">
        <v>1714</v>
      </c>
      <c r="B78" s="256"/>
      <c r="C78" s="256"/>
      <c r="D78" s="257"/>
      <c r="E78" s="105">
        <f>1.46*4536.7*12</f>
        <v>79482.984</v>
      </c>
    </row>
    <row r="79" spans="1:5" ht="15" customHeight="1" outlineLevel="1">
      <c r="A79" s="255" t="s">
        <v>1715</v>
      </c>
      <c r="B79" s="256"/>
      <c r="C79" s="256"/>
      <c r="D79" s="257"/>
      <c r="E79" s="105">
        <f>SUM(E80:E83)</f>
        <v>1792.12</v>
      </c>
    </row>
    <row r="80" spans="1:6" ht="15" outlineLevel="2">
      <c r="A80" s="42"/>
      <c r="B80" s="83" t="s">
        <v>1313</v>
      </c>
      <c r="C80" s="83" t="s">
        <v>1583</v>
      </c>
      <c r="D80" s="83" t="s">
        <v>110</v>
      </c>
      <c r="E80" s="106">
        <v>949.51</v>
      </c>
      <c r="F80" s="14"/>
    </row>
    <row r="81" spans="1:6" ht="15" outlineLevel="2">
      <c r="A81" s="42"/>
      <c r="B81" s="83" t="s">
        <v>206</v>
      </c>
      <c r="C81" s="83" t="s">
        <v>1587</v>
      </c>
      <c r="D81" s="83" t="s">
        <v>207</v>
      </c>
      <c r="E81" s="106">
        <v>278.3</v>
      </c>
      <c r="F81" s="14"/>
    </row>
    <row r="82" spans="1:6" ht="15" outlineLevel="2">
      <c r="A82" s="42"/>
      <c r="B82" s="83" t="s">
        <v>801</v>
      </c>
      <c r="C82" s="83" t="s">
        <v>1587</v>
      </c>
      <c r="D82" s="83" t="s">
        <v>803</v>
      </c>
      <c r="E82" s="106">
        <v>196.2</v>
      </c>
      <c r="F82" s="14"/>
    </row>
    <row r="83" spans="1:6" ht="15" outlineLevel="2">
      <c r="A83" s="42"/>
      <c r="B83" s="83" t="s">
        <v>1958</v>
      </c>
      <c r="C83" s="83" t="s">
        <v>1588</v>
      </c>
      <c r="D83" s="83" t="s">
        <v>1964</v>
      </c>
      <c r="E83" s="106">
        <v>368.11</v>
      </c>
      <c r="F83" s="14"/>
    </row>
    <row r="84" spans="1:5" ht="15" customHeight="1" outlineLevel="1">
      <c r="A84" s="255" t="s">
        <v>1717</v>
      </c>
      <c r="B84" s="256"/>
      <c r="C84" s="256"/>
      <c r="D84" s="257"/>
      <c r="E84" s="105">
        <f>SUM(E85:E85)</f>
        <v>954.72</v>
      </c>
    </row>
    <row r="85" spans="1:6" ht="15" customHeight="1" outlineLevel="2">
      <c r="A85" s="42"/>
      <c r="B85" s="83" t="s">
        <v>2</v>
      </c>
      <c r="C85" s="83" t="s">
        <v>1578</v>
      </c>
      <c r="D85" s="83" t="s">
        <v>1495</v>
      </c>
      <c r="E85" s="106">
        <v>954.72</v>
      </c>
      <c r="F85" s="14"/>
    </row>
    <row r="86" spans="1:5" ht="15" customHeight="1" outlineLevel="1">
      <c r="A86" s="255" t="s">
        <v>1595</v>
      </c>
      <c r="B86" s="256"/>
      <c r="C86" s="256"/>
      <c r="D86" s="257"/>
      <c r="E86" s="105">
        <f>SUM(E87:E93)</f>
        <v>14914.23</v>
      </c>
    </row>
    <row r="87" spans="1:6" ht="15" customHeight="1" outlineLevel="2">
      <c r="A87" s="42"/>
      <c r="B87" s="83" t="s">
        <v>1244</v>
      </c>
      <c r="C87" s="83" t="s">
        <v>1580</v>
      </c>
      <c r="D87" s="83" t="s">
        <v>681</v>
      </c>
      <c r="E87" s="106">
        <v>84.8</v>
      </c>
      <c r="F87" s="14"/>
    </row>
    <row r="88" spans="1:6" ht="15" customHeight="1" outlineLevel="2">
      <c r="A88" s="42"/>
      <c r="B88" s="83" t="s">
        <v>1703</v>
      </c>
      <c r="C88" s="83" t="s">
        <v>1581</v>
      </c>
      <c r="D88" s="83" t="s">
        <v>74</v>
      </c>
      <c r="E88" s="106">
        <v>163</v>
      </c>
      <c r="F88" s="14"/>
    </row>
    <row r="89" spans="1:6" ht="15" customHeight="1" outlineLevel="2">
      <c r="A89" s="42"/>
      <c r="B89" s="83" t="s">
        <v>1253</v>
      </c>
      <c r="C89" s="83" t="s">
        <v>1582</v>
      </c>
      <c r="D89" s="83" t="s">
        <v>1113</v>
      </c>
      <c r="E89" s="106">
        <v>272.84</v>
      </c>
      <c r="F89" s="14"/>
    </row>
    <row r="90" spans="1:6" ht="15" customHeight="1" outlineLevel="2">
      <c r="A90" s="42"/>
      <c r="B90" s="83" t="s">
        <v>43</v>
      </c>
      <c r="C90" s="83" t="s">
        <v>1583</v>
      </c>
      <c r="D90" s="83" t="s">
        <v>946</v>
      </c>
      <c r="E90" s="106">
        <v>569.77</v>
      </c>
      <c r="F90" s="14"/>
    </row>
    <row r="91" spans="1:6" ht="15" customHeight="1" outlineLevel="2">
      <c r="A91" s="42"/>
      <c r="B91" s="83" t="s">
        <v>2053</v>
      </c>
      <c r="C91" s="83" t="s">
        <v>1586</v>
      </c>
      <c r="D91" s="83" t="s">
        <v>2054</v>
      </c>
      <c r="E91" s="106">
        <v>5760</v>
      </c>
      <c r="F91" s="14"/>
    </row>
    <row r="92" spans="1:6" ht="15" customHeight="1" outlineLevel="2">
      <c r="A92" s="42"/>
      <c r="B92" s="83" t="s">
        <v>297</v>
      </c>
      <c r="C92" s="83" t="s">
        <v>1587</v>
      </c>
      <c r="D92" s="83" t="s">
        <v>295</v>
      </c>
      <c r="E92" s="106">
        <v>215.82</v>
      </c>
      <c r="F92" s="14"/>
    </row>
    <row r="93" spans="1:6" ht="30" outlineLevel="2">
      <c r="A93" s="42"/>
      <c r="B93" s="83" t="s">
        <v>860</v>
      </c>
      <c r="C93" s="83" t="s">
        <v>1588</v>
      </c>
      <c r="D93" s="83" t="s">
        <v>2455</v>
      </c>
      <c r="E93" s="106">
        <v>7848</v>
      </c>
      <c r="F93" s="14"/>
    </row>
    <row r="94" spans="1:5" ht="15" customHeight="1" outlineLevel="1">
      <c r="A94" s="255" t="s">
        <v>1718</v>
      </c>
      <c r="B94" s="256"/>
      <c r="C94" s="256"/>
      <c r="D94" s="257"/>
      <c r="E94" s="105">
        <f>SUM(E95:E100)</f>
        <v>11681.45</v>
      </c>
    </row>
    <row r="95" spans="1:6" ht="15" customHeight="1" outlineLevel="2">
      <c r="A95" s="42"/>
      <c r="B95" s="82" t="s">
        <v>2</v>
      </c>
      <c r="C95" s="82" t="s">
        <v>1577</v>
      </c>
      <c r="D95" s="82" t="s">
        <v>2275</v>
      </c>
      <c r="E95" s="106">
        <v>267.5</v>
      </c>
      <c r="F95" s="14"/>
    </row>
    <row r="96" spans="1:6" ht="15" customHeight="1" outlineLevel="2">
      <c r="A96" s="42"/>
      <c r="B96" s="83" t="s">
        <v>2</v>
      </c>
      <c r="C96" s="83" t="s">
        <v>57</v>
      </c>
      <c r="D96" s="83" t="s">
        <v>719</v>
      </c>
      <c r="E96" s="106">
        <v>101.41</v>
      </c>
      <c r="F96" s="14"/>
    </row>
    <row r="97" spans="1:6" ht="15" customHeight="1" outlineLevel="2">
      <c r="A97" s="42"/>
      <c r="B97" s="83" t="s">
        <v>2</v>
      </c>
      <c r="C97" s="83" t="s">
        <v>1581</v>
      </c>
      <c r="D97" s="83" t="s">
        <v>2390</v>
      </c>
      <c r="E97" s="106">
        <v>2278.78</v>
      </c>
      <c r="F97" s="14"/>
    </row>
    <row r="98" spans="1:6" ht="15" customHeight="1" outlineLevel="2">
      <c r="A98" s="42"/>
      <c r="B98" s="83" t="s">
        <v>2</v>
      </c>
      <c r="C98" s="83" t="s">
        <v>57</v>
      </c>
      <c r="D98" s="83" t="s">
        <v>76</v>
      </c>
      <c r="E98" s="106">
        <v>134.4</v>
      </c>
      <c r="F98" s="14"/>
    </row>
    <row r="99" spans="1:6" ht="15" customHeight="1" outlineLevel="2">
      <c r="A99" s="42"/>
      <c r="B99" s="83" t="s">
        <v>559</v>
      </c>
      <c r="C99" s="83" t="s">
        <v>1586</v>
      </c>
      <c r="D99" s="83" t="s">
        <v>558</v>
      </c>
      <c r="E99" s="106">
        <v>3845</v>
      </c>
      <c r="F99" s="14"/>
    </row>
    <row r="100" spans="1:6" ht="15" customHeight="1" outlineLevel="2">
      <c r="A100" s="42"/>
      <c r="B100" s="137" t="s">
        <v>1949</v>
      </c>
      <c r="C100" s="84" t="s">
        <v>1588</v>
      </c>
      <c r="D100" s="138" t="s">
        <v>75</v>
      </c>
      <c r="E100" s="106">
        <v>5054.36</v>
      </c>
      <c r="F100" s="14"/>
    </row>
    <row r="101" spans="1:6" ht="15" customHeight="1" outlineLevel="2">
      <c r="A101" s="255" t="s">
        <v>0</v>
      </c>
      <c r="B101" s="256"/>
      <c r="C101" s="256"/>
      <c r="D101" s="257"/>
      <c r="E101" s="105">
        <f>0.1*4536.7*12</f>
        <v>5444.04</v>
      </c>
      <c r="F101" s="14"/>
    </row>
    <row r="102" spans="1:6" ht="15.75" customHeight="1" outlineLevel="2">
      <c r="A102" s="255" t="s">
        <v>69</v>
      </c>
      <c r="B102" s="256"/>
      <c r="C102" s="256"/>
      <c r="D102" s="257"/>
      <c r="E102" s="105">
        <v>3166.66</v>
      </c>
      <c r="F102" s="14"/>
    </row>
    <row r="103" spans="1:6" ht="15" customHeight="1">
      <c r="A103" s="42"/>
      <c r="B103" s="270" t="s">
        <v>59</v>
      </c>
      <c r="C103" s="270"/>
      <c r="D103" s="270"/>
      <c r="E103" s="43">
        <f>1.57*4536.7*12</f>
        <v>85471.428</v>
      </c>
      <c r="F103" s="14"/>
    </row>
    <row r="104" spans="1:6" ht="15" customHeight="1">
      <c r="A104" s="42"/>
      <c r="B104" s="270" t="s">
        <v>256</v>
      </c>
      <c r="C104" s="270"/>
      <c r="D104" s="270"/>
      <c r="E104" s="43">
        <f>10.3*(E106+E107)/100</f>
        <v>114384.28512000002</v>
      </c>
      <c r="F104" s="14"/>
    </row>
    <row r="105" spans="1:5" ht="15" customHeight="1">
      <c r="A105" s="42"/>
      <c r="B105" s="272" t="s">
        <v>659</v>
      </c>
      <c r="C105" s="272"/>
      <c r="D105" s="272"/>
      <c r="E105" s="44">
        <f>E104+E103+E12+E4</f>
        <v>771547.64712</v>
      </c>
    </row>
    <row r="106" spans="1:6" ht="15">
      <c r="A106" s="42"/>
      <c r="B106" s="270" t="s">
        <v>258</v>
      </c>
      <c r="C106" s="270"/>
      <c r="D106" s="270"/>
      <c r="E106" s="43">
        <v>968989.28</v>
      </c>
      <c r="F106" s="14"/>
    </row>
    <row r="107" spans="1:5" ht="15">
      <c r="A107" s="42"/>
      <c r="B107" s="270" t="s">
        <v>259</v>
      </c>
      <c r="C107" s="270"/>
      <c r="D107" s="270"/>
      <c r="E107" s="43">
        <v>141537.76</v>
      </c>
    </row>
    <row r="108" spans="1:5" ht="15">
      <c r="A108" s="42"/>
      <c r="B108" s="270" t="s">
        <v>660</v>
      </c>
      <c r="C108" s="270"/>
      <c r="D108" s="270"/>
      <c r="E108" s="43">
        <v>3038256.83</v>
      </c>
    </row>
    <row r="109" spans="1:5" ht="15">
      <c r="A109" s="42"/>
      <c r="B109" s="270" t="s">
        <v>2340</v>
      </c>
      <c r="C109" s="270"/>
      <c r="D109" s="270"/>
      <c r="E109" s="43">
        <v>2326790.2</v>
      </c>
    </row>
    <row r="110" spans="1:5" ht="15">
      <c r="A110" s="42"/>
      <c r="B110" s="272" t="s">
        <v>2341</v>
      </c>
      <c r="C110" s="272"/>
      <c r="D110" s="272"/>
      <c r="E110" s="44">
        <f>'[5]Амурская 12'!$E$114+E105</f>
        <v>2272771.55712</v>
      </c>
    </row>
    <row r="111" spans="1:5" ht="15">
      <c r="A111" s="42"/>
      <c r="B111" s="270" t="s">
        <v>732</v>
      </c>
      <c r="C111" s="270"/>
      <c r="D111" s="270"/>
      <c r="E111" s="83">
        <v>443266.9</v>
      </c>
    </row>
    <row r="112" spans="1:5" ht="15">
      <c r="A112" s="42"/>
      <c r="B112" s="270" t="s">
        <v>733</v>
      </c>
      <c r="C112" s="270"/>
      <c r="D112" s="270"/>
      <c r="E112" s="83">
        <v>339469.9</v>
      </c>
    </row>
    <row r="113" spans="1:5" ht="15">
      <c r="A113" s="42"/>
      <c r="B113" s="272" t="s">
        <v>734</v>
      </c>
      <c r="C113" s="272"/>
      <c r="D113" s="272"/>
      <c r="E113" s="44">
        <f>E116+'[5]Амурская 12'!$E$117</f>
        <v>207794.14</v>
      </c>
    </row>
    <row r="114" spans="1:5" ht="15">
      <c r="A114" s="42"/>
      <c r="B114" s="270" t="s">
        <v>260</v>
      </c>
      <c r="C114" s="270"/>
      <c r="D114" s="270"/>
      <c r="E114" s="43">
        <v>752129.33</v>
      </c>
    </row>
    <row r="115" spans="1:5" ht="15">
      <c r="A115" s="42"/>
      <c r="B115" s="270" t="s">
        <v>735</v>
      </c>
      <c r="C115" s="270"/>
      <c r="D115" s="270"/>
      <c r="E115" s="43">
        <v>109861.58</v>
      </c>
    </row>
    <row r="116" spans="1:5" ht="15">
      <c r="A116" s="42"/>
      <c r="B116" s="272" t="s">
        <v>736</v>
      </c>
      <c r="C116" s="272"/>
      <c r="D116" s="272"/>
      <c r="E116" s="44">
        <v>0</v>
      </c>
    </row>
    <row r="117" spans="1:5" ht="24.75" customHeight="1">
      <c r="A117" s="42"/>
      <c r="B117" s="271" t="s">
        <v>737</v>
      </c>
      <c r="C117" s="271"/>
      <c r="D117" s="271"/>
      <c r="E117" s="45">
        <f>E108-E110</f>
        <v>765485.2728800001</v>
      </c>
    </row>
    <row r="118" spans="1:5" ht="24.75" customHeight="1">
      <c r="A118" s="42"/>
      <c r="B118" s="271" t="s">
        <v>738</v>
      </c>
      <c r="C118" s="271"/>
      <c r="D118" s="271"/>
      <c r="E118" s="45">
        <f>E111-E113</f>
        <v>235472.76</v>
      </c>
    </row>
    <row r="119" spans="1:5" ht="29.25" customHeight="1">
      <c r="A119" s="42"/>
      <c r="B119" s="271" t="s">
        <v>2273</v>
      </c>
      <c r="C119" s="271"/>
      <c r="D119" s="271"/>
      <c r="E119" s="45">
        <f>E109-E110</f>
        <v>54018.642880000174</v>
      </c>
    </row>
    <row r="120" ht="12.75">
      <c r="E120" s="39"/>
    </row>
    <row r="121" spans="5:7" ht="12.75">
      <c r="E121" s="39"/>
      <c r="G121" s="12" t="s">
        <v>492</v>
      </c>
    </row>
    <row r="122" spans="5:7" ht="12.75">
      <c r="E122" s="39"/>
      <c r="G122" s="12" t="s">
        <v>493</v>
      </c>
    </row>
    <row r="123" spans="5:7" ht="38.25">
      <c r="E123" s="39"/>
      <c r="G123" s="12" t="s">
        <v>494</v>
      </c>
    </row>
    <row r="124" spans="5:7" ht="12.75">
      <c r="E124" s="39"/>
      <c r="G124" s="12" t="s">
        <v>495</v>
      </c>
    </row>
    <row r="136" spans="1:5" ht="16.5" customHeight="1">
      <c r="A136" s="369" t="s">
        <v>447</v>
      </c>
      <c r="B136" s="369"/>
      <c r="C136" s="369"/>
      <c r="D136" s="369"/>
      <c r="E136" s="369"/>
    </row>
    <row r="137" spans="1:6" ht="24">
      <c r="A137" s="47"/>
      <c r="B137" s="48" t="s">
        <v>1570</v>
      </c>
      <c r="C137" s="49" t="s">
        <v>1571</v>
      </c>
      <c r="D137" s="50" t="s">
        <v>1572</v>
      </c>
      <c r="E137" s="49" t="s">
        <v>1573</v>
      </c>
      <c r="F137" s="6" t="s">
        <v>1574</v>
      </c>
    </row>
    <row r="138" spans="1:6" ht="12.75" customHeight="1">
      <c r="A138" s="370" t="s">
        <v>1575</v>
      </c>
      <c r="B138" s="371"/>
      <c r="C138" s="371"/>
      <c r="D138" s="372"/>
      <c r="E138" s="23">
        <f>SUM(E139+E141+E144)</f>
        <v>60748.350000000006</v>
      </c>
      <c r="F138" s="8">
        <f>SUM(F139:F145)</f>
        <v>60748.350000000006</v>
      </c>
    </row>
    <row r="139" spans="1:6" ht="15" customHeight="1" outlineLevel="1">
      <c r="A139" s="373" t="s">
        <v>1594</v>
      </c>
      <c r="B139" s="374"/>
      <c r="C139" s="374"/>
      <c r="D139" s="375"/>
      <c r="E139" s="10">
        <v>22110</v>
      </c>
      <c r="F139" s="11">
        <f>SUM(E140:E140)</f>
        <v>22110</v>
      </c>
    </row>
    <row r="140" spans="1:6" ht="12.75" outlineLevel="2">
      <c r="A140" s="9"/>
      <c r="B140" s="17" t="s">
        <v>1380</v>
      </c>
      <c r="C140" s="17" t="s">
        <v>1583</v>
      </c>
      <c r="D140" s="17" t="s">
        <v>1379</v>
      </c>
      <c r="E140" s="13">
        <v>22110</v>
      </c>
      <c r="F140" s="14"/>
    </row>
    <row r="141" spans="1:6" ht="15.75" customHeight="1" outlineLevel="1">
      <c r="A141" s="373" t="s">
        <v>1595</v>
      </c>
      <c r="B141" s="374"/>
      <c r="C141" s="374"/>
      <c r="D141" s="375"/>
      <c r="E141" s="10">
        <f>SUM(E143+E142)</f>
        <v>9899.19</v>
      </c>
      <c r="F141" s="11">
        <f>SUM(E142:E143)</f>
        <v>9899.19</v>
      </c>
    </row>
    <row r="142" spans="1:6" ht="12.75" outlineLevel="2">
      <c r="A142" s="9"/>
      <c r="B142" s="12" t="s">
        <v>897</v>
      </c>
      <c r="C142" s="12" t="s">
        <v>1580</v>
      </c>
      <c r="D142" s="12" t="s">
        <v>898</v>
      </c>
      <c r="E142" s="13">
        <v>3406.92</v>
      </c>
      <c r="F142" s="14"/>
    </row>
    <row r="143" spans="1:6" ht="12.75" outlineLevel="2">
      <c r="A143" s="9"/>
      <c r="B143" s="17" t="s">
        <v>1201</v>
      </c>
      <c r="C143" s="17" t="s">
        <v>1582</v>
      </c>
      <c r="D143" s="17" t="s">
        <v>1200</v>
      </c>
      <c r="E143" s="13">
        <v>6492.27</v>
      </c>
      <c r="F143" s="14"/>
    </row>
    <row r="144" spans="1:6" ht="15" customHeight="1" outlineLevel="1">
      <c r="A144" s="373" t="s">
        <v>1599</v>
      </c>
      <c r="B144" s="374"/>
      <c r="C144" s="374"/>
      <c r="D144" s="375"/>
      <c r="E144" s="10">
        <v>28739.16</v>
      </c>
      <c r="F144" s="11">
        <f>SUM(E145:E145)</f>
        <v>28739.16</v>
      </c>
    </row>
    <row r="145" spans="1:6" ht="12.75" outlineLevel="2">
      <c r="A145" s="51"/>
      <c r="B145" s="17" t="s">
        <v>2349</v>
      </c>
      <c r="C145" s="17" t="s">
        <v>1579</v>
      </c>
      <c r="D145" s="17" t="s">
        <v>2351</v>
      </c>
      <c r="E145" s="13">
        <v>28739.16</v>
      </c>
      <c r="F145" s="14"/>
    </row>
    <row r="146" spans="1:6" ht="13.5" customHeight="1" thickBot="1">
      <c r="A146" s="370" t="s">
        <v>1600</v>
      </c>
      <c r="B146" s="371"/>
      <c r="C146" s="371"/>
      <c r="D146" s="372"/>
      <c r="E146" s="23">
        <f>SUM(E153+E147+E157+E167+E180+E183+E191+E204+E205+E210+E212+E220+E224)</f>
        <v>483535.21</v>
      </c>
      <c r="F146" s="18" t="e">
        <f>SUM(F147:F222)</f>
        <v>#REF!</v>
      </c>
    </row>
    <row r="147" spans="1:6" ht="13.5" outlineLevel="1" thickTop="1">
      <c r="A147" s="373" t="s">
        <v>1576</v>
      </c>
      <c r="B147" s="374"/>
      <c r="C147" s="374"/>
      <c r="D147" s="375"/>
      <c r="E147" s="24">
        <f>SUM(E149+E148+E150+E151+E152)</f>
        <v>9673.97</v>
      </c>
      <c r="F147" s="11">
        <f>SUM(E148:E152)</f>
        <v>9673.97</v>
      </c>
    </row>
    <row r="148" spans="1:6" ht="12.75" outlineLevel="2">
      <c r="A148" s="51"/>
      <c r="B148" s="12" t="s">
        <v>14</v>
      </c>
      <c r="C148" s="12" t="s">
        <v>1579</v>
      </c>
      <c r="D148" s="12" t="s">
        <v>2172</v>
      </c>
      <c r="E148" s="13">
        <v>615.5</v>
      </c>
      <c r="F148" s="14"/>
    </row>
    <row r="149" spans="1:6" ht="12.75" outlineLevel="2">
      <c r="A149" s="51"/>
      <c r="B149" s="12" t="s">
        <v>878</v>
      </c>
      <c r="C149" s="12" t="s">
        <v>1579</v>
      </c>
      <c r="D149" s="12" t="s">
        <v>2307</v>
      </c>
      <c r="E149" s="13">
        <v>247.5</v>
      </c>
      <c r="F149" s="14"/>
    </row>
    <row r="150" spans="1:6" ht="12.75" outlineLevel="2">
      <c r="A150" s="51"/>
      <c r="B150" s="12" t="s">
        <v>1708</v>
      </c>
      <c r="C150" s="12" t="s">
        <v>1581</v>
      </c>
      <c r="D150" s="12" t="s">
        <v>2095</v>
      </c>
      <c r="E150" s="13">
        <v>476.97</v>
      </c>
      <c r="F150" s="14"/>
    </row>
    <row r="151" spans="1:6" ht="12.75" outlineLevel="2">
      <c r="A151" s="51"/>
      <c r="B151" s="12" t="s">
        <v>1689</v>
      </c>
      <c r="C151" s="12" t="s">
        <v>1582</v>
      </c>
      <c r="D151" s="12" t="s">
        <v>304</v>
      </c>
      <c r="E151" s="13">
        <v>5753.32</v>
      </c>
      <c r="F151" s="14"/>
    </row>
    <row r="152" spans="1:6" ht="12.75" outlineLevel="2">
      <c r="A152" s="51"/>
      <c r="B152" s="12" t="s">
        <v>42</v>
      </c>
      <c r="C152" s="12" t="s">
        <v>1583</v>
      </c>
      <c r="D152" s="12" t="s">
        <v>162</v>
      </c>
      <c r="E152" s="13">
        <v>2580.68</v>
      </c>
      <c r="F152" s="14"/>
    </row>
    <row r="153" spans="1:6" ht="12.75" outlineLevel="1">
      <c r="A153" s="373" t="s">
        <v>1589</v>
      </c>
      <c r="B153" s="374"/>
      <c r="C153" s="374"/>
      <c r="D153" s="375"/>
      <c r="E153" s="10">
        <f>SUM(E155+E154+E156)</f>
        <v>29949.53</v>
      </c>
      <c r="F153" s="11">
        <f>SUM(E154:E156)</f>
        <v>29949.53</v>
      </c>
    </row>
    <row r="154" spans="1:6" ht="25.5" outlineLevel="2">
      <c r="A154" s="51"/>
      <c r="B154" s="12" t="s">
        <v>8</v>
      </c>
      <c r="C154" s="12" t="s">
        <v>1578</v>
      </c>
      <c r="D154" s="12" t="s">
        <v>849</v>
      </c>
      <c r="E154" s="13">
        <v>305.32</v>
      </c>
      <c r="F154" s="14"/>
    </row>
    <row r="155" spans="1:6" ht="12.75" outlineLevel="2">
      <c r="A155" s="51"/>
      <c r="B155" s="12" t="s">
        <v>163</v>
      </c>
      <c r="C155" s="12" t="s">
        <v>1583</v>
      </c>
      <c r="D155" s="12" t="s">
        <v>167</v>
      </c>
      <c r="E155" s="13">
        <v>11730.73</v>
      </c>
      <c r="F155" s="14"/>
    </row>
    <row r="156" spans="1:6" ht="25.5" outlineLevel="2">
      <c r="A156" s="51"/>
      <c r="B156" s="12" t="s">
        <v>808</v>
      </c>
      <c r="C156" s="12" t="s">
        <v>1587</v>
      </c>
      <c r="D156" s="12" t="s">
        <v>903</v>
      </c>
      <c r="E156" s="13">
        <v>17913.48</v>
      </c>
      <c r="F156" s="14"/>
    </row>
    <row r="157" spans="1:6" ht="15" customHeight="1" outlineLevel="1">
      <c r="A157" s="373" t="s">
        <v>1590</v>
      </c>
      <c r="B157" s="374"/>
      <c r="C157" s="374"/>
      <c r="D157" s="375"/>
      <c r="E157" s="10">
        <f>SUM(E159+E158+E160+E161+E162+E163+E164+E165+E166)</f>
        <v>25440.210000000003</v>
      </c>
      <c r="F157" s="11">
        <f>SUM(E158:E166)</f>
        <v>25440.210000000003</v>
      </c>
    </row>
    <row r="158" spans="1:6" ht="12.75" outlineLevel="2">
      <c r="A158" s="51"/>
      <c r="B158" s="19" t="s">
        <v>137</v>
      </c>
      <c r="C158" s="12" t="s">
        <v>1580</v>
      </c>
      <c r="D158" s="12" t="s">
        <v>1121</v>
      </c>
      <c r="E158" s="13">
        <v>257.59</v>
      </c>
      <c r="F158" s="14"/>
    </row>
    <row r="159" spans="1:6" ht="12.75" outlineLevel="2">
      <c r="A159" s="51"/>
      <c r="B159" s="19" t="s">
        <v>1249</v>
      </c>
      <c r="C159" s="12" t="s">
        <v>1581</v>
      </c>
      <c r="D159" s="12" t="s">
        <v>2012</v>
      </c>
      <c r="E159" s="13">
        <v>3760.17</v>
      </c>
      <c r="F159" s="14"/>
    </row>
    <row r="160" spans="1:6" ht="12.75" outlineLevel="2">
      <c r="A160" s="51"/>
      <c r="B160" s="19" t="s">
        <v>1494</v>
      </c>
      <c r="C160" s="12" t="s">
        <v>1581</v>
      </c>
      <c r="D160" s="12" t="s">
        <v>2258</v>
      </c>
      <c r="E160" s="13">
        <v>83.03</v>
      </c>
      <c r="F160" s="14"/>
    </row>
    <row r="161" spans="1:6" ht="25.5" outlineLevel="2">
      <c r="A161" s="51"/>
      <c r="B161" s="19" t="s">
        <v>582</v>
      </c>
      <c r="C161" s="12" t="s">
        <v>1585</v>
      </c>
      <c r="D161" s="12" t="s">
        <v>583</v>
      </c>
      <c r="E161" s="13">
        <v>12401</v>
      </c>
      <c r="F161" s="14"/>
    </row>
    <row r="162" spans="1:6" ht="12.75" customHeight="1" outlineLevel="2">
      <c r="A162" s="51"/>
      <c r="B162" s="19" t="s">
        <v>2014</v>
      </c>
      <c r="C162" s="12" t="s">
        <v>1586</v>
      </c>
      <c r="D162" s="12" t="s">
        <v>2015</v>
      </c>
      <c r="E162" s="13">
        <v>1089.49</v>
      </c>
      <c r="F162" s="14"/>
    </row>
    <row r="163" spans="1:6" ht="12.75" outlineLevel="2">
      <c r="A163" s="51"/>
      <c r="B163" s="19" t="s">
        <v>247</v>
      </c>
      <c r="C163" s="12" t="s">
        <v>1586</v>
      </c>
      <c r="D163" s="12" t="s">
        <v>248</v>
      </c>
      <c r="E163" s="13">
        <v>3598</v>
      </c>
      <c r="F163" s="14"/>
    </row>
    <row r="164" spans="1:6" ht="12.75" outlineLevel="2">
      <c r="A164" s="51"/>
      <c r="B164" s="19" t="s">
        <v>1273</v>
      </c>
      <c r="C164" s="12" t="s">
        <v>1587</v>
      </c>
      <c r="D164" s="12" t="s">
        <v>1274</v>
      </c>
      <c r="E164" s="13">
        <v>4115.87</v>
      </c>
      <c r="F164" s="14"/>
    </row>
    <row r="165" spans="1:6" ht="12.75" outlineLevel="2">
      <c r="A165" s="51"/>
      <c r="B165" s="19" t="s">
        <v>296</v>
      </c>
      <c r="C165" s="12" t="s">
        <v>1587</v>
      </c>
      <c r="D165" s="12" t="s">
        <v>294</v>
      </c>
      <c r="E165" s="13">
        <v>91.06</v>
      </c>
      <c r="F165" s="14"/>
    </row>
    <row r="166" spans="1:6" ht="12.75" outlineLevel="2">
      <c r="A166" s="51"/>
      <c r="B166" s="19" t="s">
        <v>2</v>
      </c>
      <c r="C166" s="12" t="s">
        <v>1588</v>
      </c>
      <c r="D166" s="12" t="s">
        <v>294</v>
      </c>
      <c r="E166" s="13">
        <v>44</v>
      </c>
      <c r="F166" s="14"/>
    </row>
    <row r="167" spans="1:6" ht="14.25" customHeight="1" outlineLevel="1">
      <c r="A167" s="373" t="s">
        <v>1591</v>
      </c>
      <c r="B167" s="374"/>
      <c r="C167" s="374"/>
      <c r="D167" s="375"/>
      <c r="E167" s="10">
        <f>SUM(E169+E168+E170+E171+E172+E173+E174+E175+E176+E177+E178+E179)</f>
        <v>23427.25</v>
      </c>
      <c r="F167" s="11">
        <f>SUM(E168:E179)</f>
        <v>23427.25</v>
      </c>
    </row>
    <row r="168" spans="1:6" ht="12.75" outlineLevel="2">
      <c r="A168" s="51"/>
      <c r="B168" s="19" t="s">
        <v>661</v>
      </c>
      <c r="C168" s="12" t="s">
        <v>1578</v>
      </c>
      <c r="D168" s="12" t="s">
        <v>662</v>
      </c>
      <c r="E168" s="13">
        <v>3939.15</v>
      </c>
      <c r="F168" s="14"/>
    </row>
    <row r="169" spans="1:6" ht="12.75" outlineLevel="2">
      <c r="A169" s="51"/>
      <c r="B169" s="19" t="s">
        <v>128</v>
      </c>
      <c r="C169" s="12" t="s">
        <v>1578</v>
      </c>
      <c r="D169" s="12" t="s">
        <v>469</v>
      </c>
      <c r="E169" s="13">
        <v>685.87</v>
      </c>
      <c r="F169" s="14"/>
    </row>
    <row r="170" spans="1:6" ht="12.75" outlineLevel="2">
      <c r="A170" s="51"/>
      <c r="B170" s="19" t="s">
        <v>1064</v>
      </c>
      <c r="C170" s="12" t="s">
        <v>1579</v>
      </c>
      <c r="D170" s="12" t="s">
        <v>925</v>
      </c>
      <c r="E170" s="13">
        <v>1619.7</v>
      </c>
      <c r="F170" s="14"/>
    </row>
    <row r="171" spans="1:6" ht="12.75" outlineLevel="2">
      <c r="A171" s="51"/>
      <c r="B171" s="19" t="s">
        <v>1992</v>
      </c>
      <c r="C171" s="12" t="s">
        <v>1579</v>
      </c>
      <c r="D171" s="12" t="s">
        <v>1609</v>
      </c>
      <c r="E171" s="13">
        <v>274.45</v>
      </c>
      <c r="F171" s="14"/>
    </row>
    <row r="172" spans="1:6" ht="12.75" outlineLevel="2">
      <c r="A172" s="51"/>
      <c r="B172" s="19" t="s">
        <v>879</v>
      </c>
      <c r="C172" s="12" t="s">
        <v>1579</v>
      </c>
      <c r="D172" s="12" t="s">
        <v>317</v>
      </c>
      <c r="E172" s="13">
        <v>713.75</v>
      </c>
      <c r="F172" s="14"/>
    </row>
    <row r="173" spans="1:6" ht="12.75" customHeight="1" outlineLevel="2">
      <c r="A173" s="51"/>
      <c r="B173" s="19" t="s">
        <v>425</v>
      </c>
      <c r="C173" s="12" t="s">
        <v>1579</v>
      </c>
      <c r="D173" s="12" t="s">
        <v>210</v>
      </c>
      <c r="E173" s="13">
        <v>7402.43</v>
      </c>
      <c r="F173" s="14"/>
    </row>
    <row r="174" spans="1:6" ht="12.75" outlineLevel="2">
      <c r="A174" s="51"/>
      <c r="B174" s="35" t="s">
        <v>484</v>
      </c>
      <c r="C174" s="12" t="s">
        <v>1580</v>
      </c>
      <c r="D174" s="27" t="s">
        <v>830</v>
      </c>
      <c r="E174" s="13">
        <v>526.2</v>
      </c>
      <c r="F174" s="14"/>
    </row>
    <row r="175" spans="1:6" ht="12.75" outlineLevel="2">
      <c r="A175" s="51"/>
      <c r="B175" s="35" t="s">
        <v>93</v>
      </c>
      <c r="C175" s="12" t="s">
        <v>1580</v>
      </c>
      <c r="D175" s="27" t="s">
        <v>925</v>
      </c>
      <c r="E175" s="13">
        <v>888.11</v>
      </c>
      <c r="F175" s="14"/>
    </row>
    <row r="176" spans="1:6" ht="12.75" outlineLevel="2">
      <c r="A176" s="51"/>
      <c r="B176" s="19" t="s">
        <v>100</v>
      </c>
      <c r="C176" s="12" t="s">
        <v>1581</v>
      </c>
      <c r="D176" s="12" t="s">
        <v>616</v>
      </c>
      <c r="E176" s="13">
        <v>2108.99</v>
      </c>
      <c r="F176" s="14"/>
    </row>
    <row r="177" spans="1:6" ht="12.75" outlineLevel="2">
      <c r="A177" s="51"/>
      <c r="B177" s="19" t="s">
        <v>102</v>
      </c>
      <c r="C177" s="12" t="s">
        <v>1582</v>
      </c>
      <c r="D177" s="12" t="s">
        <v>1088</v>
      </c>
      <c r="E177" s="13">
        <v>1283.39</v>
      </c>
      <c r="F177" s="14"/>
    </row>
    <row r="178" spans="1:6" ht="12.75" outlineLevel="2">
      <c r="A178" s="51"/>
      <c r="B178" s="19" t="s">
        <v>41</v>
      </c>
      <c r="C178" s="12" t="s">
        <v>1583</v>
      </c>
      <c r="D178" s="12" t="s">
        <v>1160</v>
      </c>
      <c r="E178" s="13">
        <v>1524.1</v>
      </c>
      <c r="F178" s="14"/>
    </row>
    <row r="179" spans="1:6" ht="12.75" outlineLevel="2">
      <c r="A179" s="51"/>
      <c r="B179" s="19" t="s">
        <v>750</v>
      </c>
      <c r="C179" s="12" t="s">
        <v>1587</v>
      </c>
      <c r="D179" s="12" t="s">
        <v>751</v>
      </c>
      <c r="E179" s="13">
        <v>2461.11</v>
      </c>
      <c r="F179" s="14"/>
    </row>
    <row r="180" spans="1:6" ht="12.75" customHeight="1" outlineLevel="1">
      <c r="A180" s="373" t="s">
        <v>1594</v>
      </c>
      <c r="B180" s="374"/>
      <c r="C180" s="374"/>
      <c r="D180" s="375"/>
      <c r="E180" s="10">
        <f>SUM(E182+E181)</f>
        <v>55209.77</v>
      </c>
      <c r="F180" s="11">
        <f>SUM(E181:E182)</f>
        <v>55209.77</v>
      </c>
    </row>
    <row r="181" spans="1:6" ht="12.75" outlineLevel="2">
      <c r="A181" s="51"/>
      <c r="B181" s="46" t="s">
        <v>301</v>
      </c>
      <c r="C181" s="16" t="s">
        <v>1577</v>
      </c>
      <c r="D181" s="16" t="s">
        <v>2148</v>
      </c>
      <c r="E181" s="13">
        <v>988.77</v>
      </c>
      <c r="F181" s="14"/>
    </row>
    <row r="182" spans="1:6" ht="12.75" outlineLevel="2">
      <c r="A182" s="51"/>
      <c r="B182" s="19" t="s">
        <v>2484</v>
      </c>
      <c r="C182" s="12" t="s">
        <v>1585</v>
      </c>
      <c r="D182" s="12" t="s">
        <v>2485</v>
      </c>
      <c r="E182" s="13">
        <v>54221</v>
      </c>
      <c r="F182" s="14"/>
    </row>
    <row r="183" spans="1:6" ht="14.25" customHeight="1" outlineLevel="1">
      <c r="A183" s="373" t="s">
        <v>1599</v>
      </c>
      <c r="B183" s="374"/>
      <c r="C183" s="374"/>
      <c r="D183" s="375"/>
      <c r="E183" s="10">
        <f>SUM(E185+E184+E186+E187+E188+E189+E190)</f>
        <v>33595.51</v>
      </c>
      <c r="F183" s="11">
        <f>SUM(E184:E190)</f>
        <v>33595.51</v>
      </c>
    </row>
    <row r="184" spans="1:6" ht="12.75" outlineLevel="2">
      <c r="A184" s="51"/>
      <c r="B184" s="12" t="s">
        <v>135</v>
      </c>
      <c r="C184" s="12" t="s">
        <v>1579</v>
      </c>
      <c r="D184" s="12" t="s">
        <v>2342</v>
      </c>
      <c r="E184" s="13">
        <v>58.15</v>
      </c>
      <c r="F184" s="14"/>
    </row>
    <row r="185" spans="1:6" ht="12.75" outlineLevel="2">
      <c r="A185" s="51"/>
      <c r="B185" s="12" t="s">
        <v>91</v>
      </c>
      <c r="C185" s="12" t="s">
        <v>1579</v>
      </c>
      <c r="D185" s="12" t="s">
        <v>2363</v>
      </c>
      <c r="E185" s="13">
        <v>439.93</v>
      </c>
      <c r="F185" s="14"/>
    </row>
    <row r="186" spans="1:6" ht="12.75" outlineLevel="2">
      <c r="A186" s="51"/>
      <c r="B186" s="12" t="s">
        <v>95</v>
      </c>
      <c r="C186" s="12" t="s">
        <v>1580</v>
      </c>
      <c r="D186" s="12" t="s">
        <v>1083</v>
      </c>
      <c r="E186" s="13">
        <v>1384.95</v>
      </c>
      <c r="F186" s="14"/>
    </row>
    <row r="187" spans="1:6" ht="12.75" outlineLevel="2">
      <c r="A187" s="51"/>
      <c r="B187" s="12" t="s">
        <v>1399</v>
      </c>
      <c r="C187" s="12" t="s">
        <v>1580</v>
      </c>
      <c r="D187" s="12" t="s">
        <v>1401</v>
      </c>
      <c r="E187" s="13">
        <v>4978.67</v>
      </c>
      <c r="F187" s="14"/>
    </row>
    <row r="188" spans="1:6" ht="12.75" outlineLevel="2">
      <c r="A188" s="51"/>
      <c r="B188" s="12" t="s">
        <v>1260</v>
      </c>
      <c r="C188" s="12" t="s">
        <v>1582</v>
      </c>
      <c r="D188" s="12" t="s">
        <v>2492</v>
      </c>
      <c r="E188" s="13">
        <v>530.07</v>
      </c>
      <c r="F188" s="14"/>
    </row>
    <row r="189" spans="1:6" ht="15" customHeight="1" outlineLevel="2">
      <c r="A189" s="51"/>
      <c r="B189" s="12" t="s">
        <v>1429</v>
      </c>
      <c r="C189" s="12" t="s">
        <v>1585</v>
      </c>
      <c r="D189" s="12" t="s">
        <v>1430</v>
      </c>
      <c r="E189" s="13">
        <v>18802.11</v>
      </c>
      <c r="F189" s="14"/>
    </row>
    <row r="190" spans="1:6" ht="15" customHeight="1" outlineLevel="2">
      <c r="A190" s="51"/>
      <c r="B190" s="12" t="s">
        <v>1343</v>
      </c>
      <c r="C190" s="12" t="s">
        <v>1586</v>
      </c>
      <c r="D190" s="12" t="s">
        <v>1344</v>
      </c>
      <c r="E190" s="13">
        <v>7401.63</v>
      </c>
      <c r="F190" s="14"/>
    </row>
    <row r="191" spans="1:6" ht="16.5" customHeight="1" outlineLevel="1">
      <c r="A191" s="373" t="s">
        <v>1713</v>
      </c>
      <c r="B191" s="374"/>
      <c r="C191" s="374"/>
      <c r="D191" s="375"/>
      <c r="E191" s="10">
        <f>SUM(E193+E192+E194+E195+E196+E197+E198+E199+E200+E201+E202+E203)</f>
        <v>191584.86000000004</v>
      </c>
      <c r="F191" s="11">
        <f>SUM(E192:E203)</f>
        <v>191584.86000000004</v>
      </c>
    </row>
    <row r="192" spans="1:6" ht="12.75" outlineLevel="2">
      <c r="A192" s="51"/>
      <c r="B192" s="16"/>
      <c r="C192" s="16" t="s">
        <v>1577</v>
      </c>
      <c r="D192" s="16" t="s">
        <v>1496</v>
      </c>
      <c r="E192" s="13">
        <v>16059.92</v>
      </c>
      <c r="F192" s="14"/>
    </row>
    <row r="193" spans="1:6" ht="12.75" outlineLevel="2">
      <c r="A193" s="51"/>
      <c r="B193" s="12"/>
      <c r="C193" s="12" t="s">
        <v>1578</v>
      </c>
      <c r="D193" s="12" t="s">
        <v>1496</v>
      </c>
      <c r="E193" s="13">
        <v>16059.92</v>
      </c>
      <c r="F193" s="14"/>
    </row>
    <row r="194" spans="1:6" ht="12.75" outlineLevel="2">
      <c r="A194" s="51"/>
      <c r="B194" s="12"/>
      <c r="C194" s="12" t="s">
        <v>1579</v>
      </c>
      <c r="D194" s="12" t="s">
        <v>1496</v>
      </c>
      <c r="E194" s="13">
        <v>16059.92</v>
      </c>
      <c r="F194" s="14"/>
    </row>
    <row r="195" spans="1:6" ht="12.75" outlineLevel="2">
      <c r="A195" s="51"/>
      <c r="B195" s="12"/>
      <c r="C195" s="12" t="s">
        <v>1580</v>
      </c>
      <c r="D195" s="12" t="s">
        <v>1496</v>
      </c>
      <c r="E195" s="13">
        <v>16059.92</v>
      </c>
      <c r="F195" s="14"/>
    </row>
    <row r="196" spans="1:6" ht="12.75" outlineLevel="2">
      <c r="A196" s="51"/>
      <c r="B196" s="12"/>
      <c r="C196" s="12" t="s">
        <v>1581</v>
      </c>
      <c r="D196" s="12" t="s">
        <v>1496</v>
      </c>
      <c r="E196" s="13">
        <v>14925.74</v>
      </c>
      <c r="F196" s="14"/>
    </row>
    <row r="197" spans="1:6" ht="12.75" outlineLevel="2">
      <c r="A197" s="51"/>
      <c r="B197" s="12"/>
      <c r="C197" s="12" t="s">
        <v>1582</v>
      </c>
      <c r="D197" s="12" t="s">
        <v>1496</v>
      </c>
      <c r="E197" s="13">
        <v>16059.92</v>
      </c>
      <c r="F197" s="14"/>
    </row>
    <row r="198" spans="1:6" ht="12.75" outlineLevel="2">
      <c r="A198" s="51"/>
      <c r="B198" s="12"/>
      <c r="C198" s="12" t="s">
        <v>1583</v>
      </c>
      <c r="D198" s="12" t="s">
        <v>1496</v>
      </c>
      <c r="E198" s="13">
        <v>16059.92</v>
      </c>
      <c r="F198" s="14"/>
    </row>
    <row r="199" spans="1:6" ht="12.75" outlineLevel="2">
      <c r="A199" s="51"/>
      <c r="B199" s="12"/>
      <c r="C199" s="12" t="s">
        <v>1584</v>
      </c>
      <c r="D199" s="12" t="s">
        <v>1496</v>
      </c>
      <c r="E199" s="13">
        <v>16059.92</v>
      </c>
      <c r="F199" s="14"/>
    </row>
    <row r="200" spans="1:6" ht="12.75" outlineLevel="2">
      <c r="A200" s="51"/>
      <c r="B200" s="12"/>
      <c r="C200" s="12" t="s">
        <v>1585</v>
      </c>
      <c r="D200" s="12" t="s">
        <v>1496</v>
      </c>
      <c r="E200" s="13">
        <v>16059.92</v>
      </c>
      <c r="F200" s="14"/>
    </row>
    <row r="201" spans="1:6" ht="12.75" outlineLevel="2">
      <c r="A201" s="51"/>
      <c r="B201" s="12"/>
      <c r="C201" s="12" t="s">
        <v>1586</v>
      </c>
      <c r="D201" s="12" t="s">
        <v>1496</v>
      </c>
      <c r="E201" s="13">
        <v>16059.92</v>
      </c>
      <c r="F201" s="14"/>
    </row>
    <row r="202" spans="1:6" ht="12.75" outlineLevel="2">
      <c r="A202" s="51"/>
      <c r="B202" s="12"/>
      <c r="C202" s="12" t="s">
        <v>1587</v>
      </c>
      <c r="D202" s="12" t="s">
        <v>1496</v>
      </c>
      <c r="E202" s="13">
        <v>16059.92</v>
      </c>
      <c r="F202" s="14"/>
    </row>
    <row r="203" spans="1:6" ht="12.75" outlineLevel="2">
      <c r="A203" s="51"/>
      <c r="B203" s="21"/>
      <c r="C203" s="12" t="s">
        <v>1588</v>
      </c>
      <c r="D203" s="12" t="s">
        <v>1496</v>
      </c>
      <c r="E203" s="13">
        <v>16059.92</v>
      </c>
      <c r="F203" s="14"/>
    </row>
    <row r="204" spans="1:6" ht="17.25" customHeight="1" outlineLevel="1">
      <c r="A204" s="373" t="s">
        <v>1714</v>
      </c>
      <c r="B204" s="374"/>
      <c r="C204" s="374"/>
      <c r="D204" s="375"/>
      <c r="E204" s="10">
        <v>79482.98</v>
      </c>
      <c r="F204" s="11" t="e">
        <f>SUM(#REF!)</f>
        <v>#REF!</v>
      </c>
    </row>
    <row r="205" spans="1:6" ht="15.75" customHeight="1" outlineLevel="1">
      <c r="A205" s="373" t="s">
        <v>1715</v>
      </c>
      <c r="B205" s="374"/>
      <c r="C205" s="374"/>
      <c r="D205" s="375"/>
      <c r="E205" s="10">
        <f>SUM(E207+E206+E208+E209)</f>
        <v>1792.12</v>
      </c>
      <c r="F205" s="11">
        <f>SUM(E206:E209)</f>
        <v>1792.12</v>
      </c>
    </row>
    <row r="206" spans="1:6" ht="12.75" outlineLevel="2">
      <c r="A206" s="51"/>
      <c r="B206" s="12" t="s">
        <v>1313</v>
      </c>
      <c r="C206" s="12" t="s">
        <v>1583</v>
      </c>
      <c r="D206" s="12" t="s">
        <v>110</v>
      </c>
      <c r="E206" s="13">
        <v>949.51</v>
      </c>
      <c r="F206" s="14"/>
    </row>
    <row r="207" spans="1:6" ht="12.75" outlineLevel="2">
      <c r="A207" s="51"/>
      <c r="B207" s="12" t="s">
        <v>206</v>
      </c>
      <c r="C207" s="12" t="s">
        <v>1587</v>
      </c>
      <c r="D207" s="12" t="s">
        <v>207</v>
      </c>
      <c r="E207" s="13">
        <v>278.3</v>
      </c>
      <c r="F207" s="14"/>
    </row>
    <row r="208" spans="1:6" ht="12.75" outlineLevel="2">
      <c r="A208" s="51"/>
      <c r="B208" s="12" t="s">
        <v>801</v>
      </c>
      <c r="C208" s="12" t="s">
        <v>1587</v>
      </c>
      <c r="D208" s="12" t="s">
        <v>803</v>
      </c>
      <c r="E208" s="13">
        <v>196.2</v>
      </c>
      <c r="F208" s="14"/>
    </row>
    <row r="209" spans="1:6" ht="12.75" outlineLevel="2">
      <c r="A209" s="51"/>
      <c r="B209" s="12" t="s">
        <v>1958</v>
      </c>
      <c r="C209" s="12" t="s">
        <v>1588</v>
      </c>
      <c r="D209" s="12" t="s">
        <v>1964</v>
      </c>
      <c r="E209" s="13">
        <v>368.11</v>
      </c>
      <c r="F209" s="14"/>
    </row>
    <row r="210" spans="1:6" ht="15" customHeight="1" outlineLevel="1">
      <c r="A210" s="373" t="s">
        <v>1717</v>
      </c>
      <c r="B210" s="374"/>
      <c r="C210" s="374"/>
      <c r="D210" s="375"/>
      <c r="E210" s="10">
        <v>954.72</v>
      </c>
      <c r="F210" s="11">
        <f>SUM(E211:E211)</f>
        <v>954.72</v>
      </c>
    </row>
    <row r="211" spans="1:6" ht="12.75" outlineLevel="2">
      <c r="A211" s="51"/>
      <c r="B211" s="12" t="s">
        <v>2</v>
      </c>
      <c r="C211" s="12" t="s">
        <v>1578</v>
      </c>
      <c r="D211" s="12" t="s">
        <v>1495</v>
      </c>
      <c r="E211" s="13">
        <v>954.72</v>
      </c>
      <c r="F211" s="14"/>
    </row>
    <row r="212" spans="1:6" ht="15" customHeight="1" outlineLevel="1">
      <c r="A212" s="373" t="s">
        <v>1595</v>
      </c>
      <c r="B212" s="374"/>
      <c r="C212" s="374"/>
      <c r="D212" s="375"/>
      <c r="E212" s="10">
        <f>SUM(E214+E213+E215+E216+E217+E218+E219)</f>
        <v>14914.23</v>
      </c>
      <c r="F212" s="11">
        <f>SUM(E213:E219)</f>
        <v>14914.23</v>
      </c>
    </row>
    <row r="213" spans="1:6" ht="12.75" outlineLevel="2">
      <c r="A213" s="51"/>
      <c r="B213" s="12" t="s">
        <v>1244</v>
      </c>
      <c r="C213" s="12" t="s">
        <v>1580</v>
      </c>
      <c r="D213" s="12" t="s">
        <v>681</v>
      </c>
      <c r="E213" s="13">
        <v>84.8</v>
      </c>
      <c r="F213" s="14"/>
    </row>
    <row r="214" spans="1:6" ht="12.75" outlineLevel="2">
      <c r="A214" s="51"/>
      <c r="B214" s="12" t="s">
        <v>1703</v>
      </c>
      <c r="C214" s="12" t="s">
        <v>1581</v>
      </c>
      <c r="D214" s="12" t="s">
        <v>48</v>
      </c>
      <c r="E214" s="13">
        <v>163</v>
      </c>
      <c r="F214" s="14"/>
    </row>
    <row r="215" spans="1:6" ht="12.75" outlineLevel="2">
      <c r="A215" s="51"/>
      <c r="B215" s="12" t="s">
        <v>1253</v>
      </c>
      <c r="C215" s="12" t="s">
        <v>1582</v>
      </c>
      <c r="D215" s="12" t="s">
        <v>1113</v>
      </c>
      <c r="E215" s="13">
        <v>272.84</v>
      </c>
      <c r="F215" s="14"/>
    </row>
    <row r="216" spans="1:6" ht="12" customHeight="1" outlineLevel="2">
      <c r="A216" s="51"/>
      <c r="B216" s="12" t="s">
        <v>43</v>
      </c>
      <c r="C216" s="12" t="s">
        <v>1583</v>
      </c>
      <c r="D216" s="12" t="s">
        <v>946</v>
      </c>
      <c r="E216" s="13">
        <v>569.77</v>
      </c>
      <c r="F216" s="14"/>
    </row>
    <row r="217" spans="1:6" ht="12.75" outlineLevel="2">
      <c r="A217" s="51"/>
      <c r="B217" s="12" t="s">
        <v>2053</v>
      </c>
      <c r="C217" s="12" t="s">
        <v>1586</v>
      </c>
      <c r="D217" s="12" t="s">
        <v>2054</v>
      </c>
      <c r="E217" s="13">
        <v>5760</v>
      </c>
      <c r="F217" s="14"/>
    </row>
    <row r="218" spans="1:6" ht="12.75" outlineLevel="2">
      <c r="A218" s="51"/>
      <c r="B218" s="12" t="s">
        <v>297</v>
      </c>
      <c r="C218" s="12" t="s">
        <v>1587</v>
      </c>
      <c r="D218" s="12" t="s">
        <v>295</v>
      </c>
      <c r="E218" s="13">
        <v>215.82</v>
      </c>
      <c r="F218" s="14"/>
    </row>
    <row r="219" spans="1:6" ht="25.5" outlineLevel="2">
      <c r="A219" s="51"/>
      <c r="B219" s="12" t="s">
        <v>860</v>
      </c>
      <c r="C219" s="12" t="s">
        <v>1588</v>
      </c>
      <c r="D219" s="12" t="s">
        <v>861</v>
      </c>
      <c r="E219" s="13">
        <v>7848</v>
      </c>
      <c r="F219" s="14"/>
    </row>
    <row r="220" spans="1:6" ht="16.5" customHeight="1" outlineLevel="1">
      <c r="A220" s="373" t="s">
        <v>1718</v>
      </c>
      <c r="B220" s="374"/>
      <c r="C220" s="374"/>
      <c r="D220" s="375"/>
      <c r="E220" s="10">
        <f>SUM(E222+E221+E223)</f>
        <v>12066.02</v>
      </c>
      <c r="F220" s="11">
        <f>SUM(E221:E222)</f>
        <v>8899.36</v>
      </c>
    </row>
    <row r="221" spans="1:6" ht="12.75" outlineLevel="2">
      <c r="A221" s="51"/>
      <c r="B221" s="12" t="s">
        <v>559</v>
      </c>
      <c r="C221" s="12" t="s">
        <v>1586</v>
      </c>
      <c r="D221" s="12" t="s">
        <v>558</v>
      </c>
      <c r="E221" s="13">
        <v>3845</v>
      </c>
      <c r="F221" s="14"/>
    </row>
    <row r="222" spans="1:6" ht="12.75" outlineLevel="2">
      <c r="A222" s="51"/>
      <c r="B222" s="21" t="s">
        <v>1949</v>
      </c>
      <c r="C222" s="12" t="s">
        <v>1588</v>
      </c>
      <c r="D222" s="22" t="s">
        <v>1950</v>
      </c>
      <c r="E222" s="13">
        <v>5054.36</v>
      </c>
      <c r="F222" s="14"/>
    </row>
    <row r="223" spans="1:6" ht="12.75">
      <c r="A223" s="52"/>
      <c r="B223" s="385" t="s">
        <v>446</v>
      </c>
      <c r="C223" s="386"/>
      <c r="D223" s="387"/>
      <c r="E223" s="36">
        <v>3166.66</v>
      </c>
      <c r="F223" s="14"/>
    </row>
    <row r="224" spans="1:6" ht="12.75">
      <c r="A224" s="373" t="s">
        <v>0</v>
      </c>
      <c r="B224" s="374"/>
      <c r="C224" s="374"/>
      <c r="D224" s="375"/>
      <c r="E224" s="10">
        <v>5444.04</v>
      </c>
      <c r="F224" s="14"/>
    </row>
    <row r="225" spans="1:6" ht="15">
      <c r="A225" s="53"/>
      <c r="B225" s="270" t="s">
        <v>59</v>
      </c>
      <c r="C225" s="270"/>
      <c r="D225" s="270"/>
      <c r="E225" s="43">
        <v>85471.43</v>
      </c>
      <c r="F225" s="14"/>
    </row>
    <row r="226" spans="1:6" ht="15">
      <c r="A226" s="53"/>
      <c r="B226" s="270" t="s">
        <v>256</v>
      </c>
      <c r="C226" s="270"/>
      <c r="D226" s="270"/>
      <c r="E226" s="43">
        <f>(E228+E229)*10.3/100</f>
        <v>114384.28512000002</v>
      </c>
      <c r="F226" s="14"/>
    </row>
    <row r="227" spans="1:5" ht="15">
      <c r="A227" s="51"/>
      <c r="B227" s="272" t="s">
        <v>659</v>
      </c>
      <c r="C227" s="272"/>
      <c r="D227" s="272"/>
      <c r="E227" s="44">
        <f>SUM(E226+E225+E146+E138)</f>
        <v>744139.27512</v>
      </c>
    </row>
    <row r="228" spans="1:6" ht="15">
      <c r="A228" s="51"/>
      <c r="B228" s="270" t="s">
        <v>258</v>
      </c>
      <c r="C228" s="270"/>
      <c r="D228" s="270"/>
      <c r="E228" s="43">
        <v>968989.28</v>
      </c>
      <c r="F228" s="14"/>
    </row>
    <row r="229" spans="1:5" ht="15">
      <c r="A229" s="51"/>
      <c r="B229" s="270" t="s">
        <v>259</v>
      </c>
      <c r="C229" s="270"/>
      <c r="D229" s="270"/>
      <c r="E229" s="43">
        <v>141537.76</v>
      </c>
    </row>
    <row r="230" spans="1:5" ht="15">
      <c r="A230" s="51"/>
      <c r="B230" s="270" t="s">
        <v>660</v>
      </c>
      <c r="C230" s="270"/>
      <c r="D230" s="270"/>
      <c r="E230" s="43">
        <v>3038256.83</v>
      </c>
    </row>
    <row r="231" spans="1:5" ht="15">
      <c r="A231" s="51"/>
      <c r="B231" s="270" t="s">
        <v>2340</v>
      </c>
      <c r="C231" s="270"/>
      <c r="D231" s="270"/>
      <c r="E231" s="43">
        <v>2326790.2</v>
      </c>
    </row>
    <row r="232" spans="1:5" ht="15">
      <c r="A232" s="51"/>
      <c r="B232" s="272" t="s">
        <v>2341</v>
      </c>
      <c r="C232" s="272"/>
      <c r="D232" s="272"/>
      <c r="E232" s="44">
        <f>1616372.15+E227</f>
        <v>2360511.42512</v>
      </c>
    </row>
    <row r="233" spans="1:5" ht="15">
      <c r="A233" s="51"/>
      <c r="B233" s="270" t="s">
        <v>732</v>
      </c>
      <c r="C233" s="270"/>
      <c r="D233" s="270"/>
      <c r="E233" s="43">
        <v>443266.9</v>
      </c>
    </row>
    <row r="234" spans="1:5" ht="15">
      <c r="A234" s="51"/>
      <c r="B234" s="270" t="s">
        <v>733</v>
      </c>
      <c r="C234" s="270"/>
      <c r="D234" s="270"/>
      <c r="E234" s="43">
        <v>339469.9</v>
      </c>
    </row>
    <row r="235" spans="1:5" ht="15">
      <c r="A235" s="51"/>
      <c r="B235" s="272" t="s">
        <v>734</v>
      </c>
      <c r="C235" s="272"/>
      <c r="D235" s="272"/>
      <c r="E235" s="44">
        <f>941003+E238</f>
        <v>941003</v>
      </c>
    </row>
    <row r="236" spans="1:5" ht="15">
      <c r="A236" s="51"/>
      <c r="B236" s="270" t="s">
        <v>260</v>
      </c>
      <c r="C236" s="270"/>
      <c r="D236" s="270"/>
      <c r="E236" s="43">
        <v>752129.33</v>
      </c>
    </row>
    <row r="237" spans="1:5" ht="15">
      <c r="A237" s="51"/>
      <c r="B237" s="270" t="s">
        <v>735</v>
      </c>
      <c r="C237" s="270"/>
      <c r="D237" s="270"/>
      <c r="E237" s="43">
        <v>109861.58</v>
      </c>
    </row>
    <row r="238" spans="1:5" ht="15">
      <c r="A238" s="51"/>
      <c r="B238" s="272" t="s">
        <v>736</v>
      </c>
      <c r="C238" s="272"/>
      <c r="D238" s="272"/>
      <c r="E238" s="44">
        <v>0</v>
      </c>
    </row>
    <row r="239" spans="1:5" ht="15" customHeight="1">
      <c r="A239" s="384" t="s">
        <v>2271</v>
      </c>
      <c r="B239" s="384"/>
      <c r="C239" s="384"/>
      <c r="D239" s="384"/>
      <c r="E239" s="45">
        <f>SUM(E233-E235)</f>
        <v>-497736.1</v>
      </c>
    </row>
    <row r="240" spans="1:5" ht="15" customHeight="1">
      <c r="A240" s="384" t="s">
        <v>2272</v>
      </c>
      <c r="B240" s="384"/>
      <c r="C240" s="384"/>
      <c r="D240" s="384"/>
      <c r="E240" s="45">
        <f>SUM(E236-E238)</f>
        <v>752129.33</v>
      </c>
    </row>
    <row r="241" spans="1:5" ht="15" customHeight="1">
      <c r="A241" s="376" t="s">
        <v>2273</v>
      </c>
      <c r="B241" s="377"/>
      <c r="C241" s="377"/>
      <c r="D241" s="378"/>
      <c r="E241" s="382">
        <f>SUM(E234-E235)</f>
        <v>-601533.1</v>
      </c>
    </row>
    <row r="242" spans="1:5" ht="12.75">
      <c r="A242" s="379"/>
      <c r="B242" s="380"/>
      <c r="C242" s="380"/>
      <c r="D242" s="381"/>
      <c r="E242" s="383"/>
    </row>
  </sheetData>
  <sheetProtection/>
  <mergeCells count="75">
    <mergeCell ref="A240:D240"/>
    <mergeCell ref="B225:D225"/>
    <mergeCell ref="B117:D117"/>
    <mergeCell ref="B113:D113"/>
    <mergeCell ref="B228:D228"/>
    <mergeCell ref="A191:D191"/>
    <mergeCell ref="A204:D204"/>
    <mergeCell ref="B226:D226"/>
    <mergeCell ref="B233:D233"/>
    <mergeCell ref="B227:D227"/>
    <mergeCell ref="A54:D54"/>
    <mergeCell ref="A1:E1"/>
    <mergeCell ref="A5:D5"/>
    <mergeCell ref="A7:D7"/>
    <mergeCell ref="A10:D10"/>
    <mergeCell ref="B4:C4"/>
    <mergeCell ref="A13:D13"/>
    <mergeCell ref="A23:D23"/>
    <mergeCell ref="A28:D28"/>
    <mergeCell ref="A41:D41"/>
    <mergeCell ref="A141:D141"/>
    <mergeCell ref="A205:D205"/>
    <mergeCell ref="A84:D84"/>
    <mergeCell ref="A86:D86"/>
    <mergeCell ref="A101:D101"/>
    <mergeCell ref="A102:D102"/>
    <mergeCell ref="B118:D118"/>
    <mergeCell ref="A167:D167"/>
    <mergeCell ref="A157:D157"/>
    <mergeCell ref="B119:D119"/>
    <mergeCell ref="B238:D238"/>
    <mergeCell ref="B223:D223"/>
    <mergeCell ref="B235:D235"/>
    <mergeCell ref="A210:D210"/>
    <mergeCell ref="B229:D229"/>
    <mergeCell ref="B230:D230"/>
    <mergeCell ref="B231:D231"/>
    <mergeCell ref="B232:D232"/>
    <mergeCell ref="B234:D234"/>
    <mergeCell ref="B111:D111"/>
    <mergeCell ref="B112:D112"/>
    <mergeCell ref="A241:D242"/>
    <mergeCell ref="E241:E242"/>
    <mergeCell ref="A212:D212"/>
    <mergeCell ref="A220:D220"/>
    <mergeCell ref="A224:D224"/>
    <mergeCell ref="A239:D239"/>
    <mergeCell ref="B237:D237"/>
    <mergeCell ref="B236:D236"/>
    <mergeCell ref="A180:D180"/>
    <mergeCell ref="A183:D183"/>
    <mergeCell ref="B12:C12"/>
    <mergeCell ref="B103:D103"/>
    <mergeCell ref="B104:D104"/>
    <mergeCell ref="B106:D106"/>
    <mergeCell ref="B105:D105"/>
    <mergeCell ref="A94:D94"/>
    <mergeCell ref="A57:D57"/>
    <mergeCell ref="A65:D65"/>
    <mergeCell ref="B114:D114"/>
    <mergeCell ref="B115:D115"/>
    <mergeCell ref="A136:E136"/>
    <mergeCell ref="A138:D138"/>
    <mergeCell ref="B116:D116"/>
    <mergeCell ref="A153:D153"/>
    <mergeCell ref="A147:D147"/>
    <mergeCell ref="A139:D139"/>
    <mergeCell ref="A144:D144"/>
    <mergeCell ref="A146:D146"/>
    <mergeCell ref="B109:D109"/>
    <mergeCell ref="B110:D110"/>
    <mergeCell ref="A78:D78"/>
    <mergeCell ref="A79:D79"/>
    <mergeCell ref="B107:D107"/>
    <mergeCell ref="B108:D108"/>
  </mergeCells>
  <printOptions/>
  <pageMargins left="0.17" right="0.17" top="0.32" bottom="0.3937007874015748" header="0.5118110236220472" footer="0.5118110236220472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2"/>
  <sheetViews>
    <sheetView zoomScalePageLayoutView="0" workbookViewId="0" topLeftCell="A10">
      <selection activeCell="D17" sqref="D17"/>
    </sheetView>
  </sheetViews>
  <sheetFormatPr defaultColWidth="13.421875" defaultRowHeight="12.75" outlineLevelRow="2"/>
  <cols>
    <col min="1" max="1" width="2.57421875" style="42" customWidth="1"/>
    <col min="2" max="2" width="11.8515625" style="42" customWidth="1"/>
    <col min="3" max="3" width="14.7109375" style="42" customWidth="1"/>
    <col min="4" max="4" width="72.28125" style="42" customWidth="1"/>
    <col min="5" max="5" width="14.57421875" style="42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258" t="s">
        <v>2140</v>
      </c>
      <c r="B1" s="315"/>
      <c r="C1" s="315"/>
      <c r="D1" s="315"/>
      <c r="E1" s="316"/>
    </row>
    <row r="2" spans="2:6" ht="15"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171"/>
      <c r="C3" s="171"/>
      <c r="D3" s="155" t="s">
        <v>1575</v>
      </c>
      <c r="E3" s="130">
        <f>E4+E6</f>
        <v>10235.93</v>
      </c>
    </row>
    <row r="4" spans="1:5" ht="12.75" customHeight="1" outlineLevel="1">
      <c r="A4" s="255" t="s">
        <v>1594</v>
      </c>
      <c r="B4" s="256"/>
      <c r="C4" s="256"/>
      <c r="D4" s="257"/>
      <c r="E4" s="105">
        <f>SUM(E5:E5)</f>
        <v>6476.8</v>
      </c>
    </row>
    <row r="5" spans="1:6" ht="15" outlineLevel="2">
      <c r="A5" s="81"/>
      <c r="B5" s="85" t="s">
        <v>699</v>
      </c>
      <c r="C5" s="85" t="s">
        <v>1577</v>
      </c>
      <c r="D5" s="85" t="s">
        <v>2464</v>
      </c>
      <c r="E5" s="106">
        <v>6476.8</v>
      </c>
      <c r="F5" s="14"/>
    </row>
    <row r="6" spans="1:5" ht="15" customHeight="1" outlineLevel="1">
      <c r="A6" s="255" t="s">
        <v>1595</v>
      </c>
      <c r="B6" s="256"/>
      <c r="C6" s="256"/>
      <c r="D6" s="257"/>
      <c r="E6" s="105">
        <f>SUM(E7:E7)</f>
        <v>3759.13</v>
      </c>
    </row>
    <row r="7" spans="1:6" ht="15" outlineLevel="2">
      <c r="A7" s="81"/>
      <c r="B7" s="84" t="s">
        <v>1693</v>
      </c>
      <c r="C7" s="84" t="s">
        <v>1582</v>
      </c>
      <c r="D7" s="84" t="s">
        <v>1092</v>
      </c>
      <c r="E7" s="106">
        <v>3759.13</v>
      </c>
      <c r="F7" s="14"/>
    </row>
    <row r="8" spans="1:5" ht="13.5" customHeight="1">
      <c r="A8" s="91"/>
      <c r="B8" s="171"/>
      <c r="C8" s="171"/>
      <c r="D8" s="155" t="s">
        <v>1600</v>
      </c>
      <c r="E8" s="130">
        <f>E9+E20+E23+E30+E35+E37+E44+E57+E58+E71+E80+E87+E89+E90</f>
        <v>350322.41199999995</v>
      </c>
    </row>
    <row r="9" spans="1:5" ht="13.5" customHeight="1" outlineLevel="1">
      <c r="A9" s="255" t="s">
        <v>1576</v>
      </c>
      <c r="B9" s="256"/>
      <c r="C9" s="256"/>
      <c r="D9" s="257"/>
      <c r="E9" s="105">
        <f>SUM(E10:E19)</f>
        <v>12161.589999999997</v>
      </c>
    </row>
    <row r="10" spans="2:6" ht="15" outlineLevel="2">
      <c r="B10" s="83" t="s">
        <v>2181</v>
      </c>
      <c r="C10" s="83" t="s">
        <v>1579</v>
      </c>
      <c r="D10" s="83" t="s">
        <v>2335</v>
      </c>
      <c r="E10" s="106">
        <v>1675.93</v>
      </c>
      <c r="F10" s="14"/>
    </row>
    <row r="11" spans="2:6" ht="15" outlineLevel="2">
      <c r="B11" s="83" t="s">
        <v>2</v>
      </c>
      <c r="C11" s="83" t="s">
        <v>1580</v>
      </c>
      <c r="D11" s="83" t="s">
        <v>2277</v>
      </c>
      <c r="E11" s="106">
        <v>21.73</v>
      </c>
      <c r="F11" s="14"/>
    </row>
    <row r="12" spans="2:6" ht="15" outlineLevel="2">
      <c r="B12" s="83" t="s">
        <v>1689</v>
      </c>
      <c r="C12" s="83" t="s">
        <v>1582</v>
      </c>
      <c r="D12" s="83" t="s">
        <v>2410</v>
      </c>
      <c r="E12" s="106">
        <v>6295.94</v>
      </c>
      <c r="F12" s="14"/>
    </row>
    <row r="13" spans="2:6" ht="27.75" customHeight="1" outlineLevel="2">
      <c r="B13" s="83" t="s">
        <v>508</v>
      </c>
      <c r="C13" s="83" t="s">
        <v>1582</v>
      </c>
      <c r="D13" s="83" t="s">
        <v>509</v>
      </c>
      <c r="E13" s="106">
        <v>290.51</v>
      </c>
      <c r="F13" s="14"/>
    </row>
    <row r="14" spans="2:6" ht="15" outlineLevel="2">
      <c r="B14" s="83" t="s">
        <v>1306</v>
      </c>
      <c r="C14" s="83" t="s">
        <v>1583</v>
      </c>
      <c r="D14" s="83" t="s">
        <v>1309</v>
      </c>
      <c r="E14" s="106">
        <v>274.47</v>
      </c>
      <c r="F14" s="14"/>
    </row>
    <row r="15" spans="2:6" ht="15" outlineLevel="2">
      <c r="B15" s="83" t="s">
        <v>1695</v>
      </c>
      <c r="C15" s="83" t="s">
        <v>1583</v>
      </c>
      <c r="D15" s="83" t="s">
        <v>1145</v>
      </c>
      <c r="E15" s="106">
        <v>630.21</v>
      </c>
      <c r="F15" s="14"/>
    </row>
    <row r="16" spans="2:6" ht="15" outlineLevel="2">
      <c r="B16" s="83" t="s">
        <v>1695</v>
      </c>
      <c r="C16" s="83" t="s">
        <v>1583</v>
      </c>
      <c r="D16" s="83" t="s">
        <v>1063</v>
      </c>
      <c r="E16" s="106">
        <v>937.13</v>
      </c>
      <c r="F16" s="14"/>
    </row>
    <row r="17" spans="2:6" ht="90" outlineLevel="2">
      <c r="B17" s="83" t="s">
        <v>714</v>
      </c>
      <c r="C17" s="83" t="s">
        <v>1583</v>
      </c>
      <c r="D17" s="83" t="s">
        <v>509</v>
      </c>
      <c r="E17" s="106">
        <v>1076.93</v>
      </c>
      <c r="F17" s="14"/>
    </row>
    <row r="18" spans="2:6" ht="15" outlineLevel="2">
      <c r="B18" s="83" t="s">
        <v>2</v>
      </c>
      <c r="C18" s="83" t="s">
        <v>1583</v>
      </c>
      <c r="D18" s="83" t="s">
        <v>855</v>
      </c>
      <c r="E18" s="106">
        <v>80.15</v>
      </c>
      <c r="F18" s="14"/>
    </row>
    <row r="19" spans="2:6" ht="15" outlineLevel="2">
      <c r="B19" s="83" t="s">
        <v>29</v>
      </c>
      <c r="C19" s="83" t="s">
        <v>1584</v>
      </c>
      <c r="D19" s="83" t="s">
        <v>727</v>
      </c>
      <c r="E19" s="106">
        <v>878.59</v>
      </c>
      <c r="F19" s="14"/>
    </row>
    <row r="20" spans="1:5" ht="13.5" customHeight="1" outlineLevel="1">
      <c r="A20" s="255" t="s">
        <v>1589</v>
      </c>
      <c r="B20" s="256"/>
      <c r="C20" s="256"/>
      <c r="D20" s="257"/>
      <c r="E20" s="105">
        <f>SUM(E21:E22)</f>
        <v>108.39</v>
      </c>
    </row>
    <row r="21" spans="2:6" ht="15" outlineLevel="2">
      <c r="B21" s="83" t="s">
        <v>102</v>
      </c>
      <c r="C21" s="83" t="s">
        <v>1582</v>
      </c>
      <c r="D21" s="83" t="s">
        <v>1090</v>
      </c>
      <c r="E21" s="106">
        <v>64.39</v>
      </c>
      <c r="F21" s="14"/>
    </row>
    <row r="22" spans="2:6" ht="15" outlineLevel="2">
      <c r="B22" s="83" t="s">
        <v>1072</v>
      </c>
      <c r="C22" s="83" t="s">
        <v>1588</v>
      </c>
      <c r="D22" s="83" t="s">
        <v>1073</v>
      </c>
      <c r="E22" s="106">
        <v>44</v>
      </c>
      <c r="F22" s="14"/>
    </row>
    <row r="23" spans="1:5" ht="15" customHeight="1" outlineLevel="1">
      <c r="A23" s="255" t="s">
        <v>1590</v>
      </c>
      <c r="B23" s="256"/>
      <c r="C23" s="256"/>
      <c r="D23" s="257"/>
      <c r="E23" s="105">
        <f>SUM(E24:E29)</f>
        <v>19948.41</v>
      </c>
    </row>
    <row r="24" spans="2:6" ht="15" outlineLevel="2">
      <c r="B24" s="87" t="s">
        <v>2</v>
      </c>
      <c r="C24" s="83" t="s">
        <v>1581</v>
      </c>
      <c r="D24" s="83" t="s">
        <v>938</v>
      </c>
      <c r="E24" s="106">
        <v>165.51</v>
      </c>
      <c r="F24" s="14"/>
    </row>
    <row r="25" spans="2:6" ht="45" outlineLevel="2">
      <c r="B25" s="87" t="s">
        <v>929</v>
      </c>
      <c r="C25" s="83" t="s">
        <v>1584</v>
      </c>
      <c r="D25" s="83" t="s">
        <v>760</v>
      </c>
      <c r="E25" s="106">
        <v>5627.7</v>
      </c>
      <c r="F25" s="14"/>
    </row>
    <row r="26" spans="2:6" ht="15" outlineLevel="2">
      <c r="B26" s="87" t="s">
        <v>584</v>
      </c>
      <c r="C26" s="83" t="s">
        <v>1585</v>
      </c>
      <c r="D26" s="83" t="s">
        <v>2297</v>
      </c>
      <c r="E26" s="106">
        <v>9824</v>
      </c>
      <c r="F26" s="14"/>
    </row>
    <row r="27" spans="2:6" ht="15" outlineLevel="2">
      <c r="B27" s="87" t="s">
        <v>1903</v>
      </c>
      <c r="C27" s="83" t="s">
        <v>1586</v>
      </c>
      <c r="D27" s="83" t="s">
        <v>246</v>
      </c>
      <c r="E27" s="106">
        <v>2815.02</v>
      </c>
      <c r="F27" s="14"/>
    </row>
    <row r="28" spans="2:6" ht="30" outlineLevel="2">
      <c r="B28" s="87" t="s">
        <v>190</v>
      </c>
      <c r="C28" s="83" t="s">
        <v>1586</v>
      </c>
      <c r="D28" s="83" t="s">
        <v>783</v>
      </c>
      <c r="E28" s="106">
        <v>1470.65</v>
      </c>
      <c r="F28" s="14"/>
    </row>
    <row r="29" spans="2:6" ht="15" outlineLevel="2">
      <c r="B29" s="87" t="s">
        <v>1199</v>
      </c>
      <c r="C29" s="83" t="s">
        <v>1587</v>
      </c>
      <c r="D29" s="83" t="s">
        <v>1179</v>
      </c>
      <c r="E29" s="106">
        <v>45.53</v>
      </c>
      <c r="F29" s="14"/>
    </row>
    <row r="30" spans="1:5" ht="15" customHeight="1" outlineLevel="1">
      <c r="A30" s="255" t="s">
        <v>1591</v>
      </c>
      <c r="B30" s="256"/>
      <c r="C30" s="256"/>
      <c r="D30" s="257"/>
      <c r="E30" s="105">
        <f>SUM(E31:E34)</f>
        <v>9291.71</v>
      </c>
    </row>
    <row r="31" spans="2:6" ht="15" outlineLevel="2">
      <c r="B31" s="88" t="s">
        <v>1267</v>
      </c>
      <c r="C31" s="82" t="s">
        <v>1577</v>
      </c>
      <c r="D31" s="82" t="s">
        <v>862</v>
      </c>
      <c r="E31" s="106">
        <v>1316.88</v>
      </c>
      <c r="F31" s="14"/>
    </row>
    <row r="32" spans="2:6" ht="30" outlineLevel="2">
      <c r="B32" s="87" t="s">
        <v>2329</v>
      </c>
      <c r="C32" s="83" t="s">
        <v>1578</v>
      </c>
      <c r="D32" s="83" t="s">
        <v>2338</v>
      </c>
      <c r="E32" s="106">
        <v>4547.03</v>
      </c>
      <c r="F32" s="14"/>
    </row>
    <row r="33" spans="2:6" ht="15" outlineLevel="2">
      <c r="B33" s="87" t="s">
        <v>103</v>
      </c>
      <c r="C33" s="83" t="s">
        <v>1581</v>
      </c>
      <c r="D33" s="83" t="s">
        <v>310</v>
      </c>
      <c r="E33" s="106">
        <v>720.17</v>
      </c>
      <c r="F33" s="14"/>
    </row>
    <row r="34" spans="2:6" ht="15" outlineLevel="2">
      <c r="B34" s="87" t="s">
        <v>41</v>
      </c>
      <c r="C34" s="83" t="s">
        <v>1583</v>
      </c>
      <c r="D34" s="83" t="s">
        <v>1159</v>
      </c>
      <c r="E34" s="106">
        <v>2707.63</v>
      </c>
      <c r="F34" s="14"/>
    </row>
    <row r="35" spans="1:5" ht="15.75" customHeight="1" outlineLevel="1">
      <c r="A35" s="255" t="s">
        <v>1594</v>
      </c>
      <c r="B35" s="256"/>
      <c r="C35" s="256"/>
      <c r="D35" s="257"/>
      <c r="E35" s="105">
        <f>SUM(E36:E36)</f>
        <v>50916</v>
      </c>
    </row>
    <row r="36" spans="2:6" ht="15" outlineLevel="2">
      <c r="B36" s="87" t="s">
        <v>788</v>
      </c>
      <c r="C36" s="83" t="s">
        <v>1585</v>
      </c>
      <c r="D36" s="83" t="s">
        <v>789</v>
      </c>
      <c r="E36" s="106">
        <v>50916</v>
      </c>
      <c r="F36" s="14"/>
    </row>
    <row r="37" spans="1:5" ht="12.75" customHeight="1" outlineLevel="1">
      <c r="A37" s="255" t="s">
        <v>1599</v>
      </c>
      <c r="B37" s="256"/>
      <c r="C37" s="256"/>
      <c r="D37" s="257"/>
      <c r="E37" s="105">
        <f>SUM(E38:E43)</f>
        <v>57844.21000000001</v>
      </c>
    </row>
    <row r="38" spans="2:6" ht="15" outlineLevel="2">
      <c r="B38" s="83" t="s">
        <v>1260</v>
      </c>
      <c r="C38" s="83" t="s">
        <v>1583</v>
      </c>
      <c r="D38" s="83" t="s">
        <v>663</v>
      </c>
      <c r="E38" s="106">
        <v>2236.22</v>
      </c>
      <c r="F38" s="14"/>
    </row>
    <row r="39" spans="2:6" ht="15" outlineLevel="2">
      <c r="B39" s="83" t="s">
        <v>620</v>
      </c>
      <c r="C39" s="83" t="s">
        <v>1584</v>
      </c>
      <c r="D39" s="83" t="s">
        <v>625</v>
      </c>
      <c r="E39" s="106">
        <v>1246.6</v>
      </c>
      <c r="F39" s="14"/>
    </row>
    <row r="40" spans="2:6" ht="15" outlineLevel="2">
      <c r="B40" s="83" t="s">
        <v>620</v>
      </c>
      <c r="C40" s="83" t="s">
        <v>1584</v>
      </c>
      <c r="D40" s="83" t="s">
        <v>626</v>
      </c>
      <c r="E40" s="106">
        <v>50002.16</v>
      </c>
      <c r="F40" s="14"/>
    </row>
    <row r="41" spans="2:6" ht="15" outlineLevel="2">
      <c r="B41" s="83" t="s">
        <v>1651</v>
      </c>
      <c r="C41" s="83" t="s">
        <v>1585</v>
      </c>
      <c r="D41" s="83" t="s">
        <v>1652</v>
      </c>
      <c r="E41" s="106">
        <v>1099.12</v>
      </c>
      <c r="F41" s="14"/>
    </row>
    <row r="42" spans="2:6" ht="15" outlineLevel="2">
      <c r="B42" s="83" t="s">
        <v>1339</v>
      </c>
      <c r="C42" s="83" t="s">
        <v>1586</v>
      </c>
      <c r="D42" s="83" t="s">
        <v>1340</v>
      </c>
      <c r="E42" s="106">
        <v>1131.47</v>
      </c>
      <c r="F42" s="14"/>
    </row>
    <row r="43" spans="2:6" ht="15" outlineLevel="2">
      <c r="B43" s="83" t="s">
        <v>1129</v>
      </c>
      <c r="C43" s="83" t="s">
        <v>1587</v>
      </c>
      <c r="D43" s="83" t="s">
        <v>1130</v>
      </c>
      <c r="E43" s="106">
        <v>2128.64</v>
      </c>
      <c r="F43" s="14"/>
    </row>
    <row r="44" spans="1:5" ht="12" customHeight="1" outlineLevel="1">
      <c r="A44" s="255" t="s">
        <v>1713</v>
      </c>
      <c r="B44" s="256"/>
      <c r="C44" s="256"/>
      <c r="D44" s="257"/>
      <c r="E44" s="105">
        <f>SUM(E45:E56)</f>
        <v>98612.5</v>
      </c>
    </row>
    <row r="45" spans="2:6" ht="15" outlineLevel="2">
      <c r="B45" s="82"/>
      <c r="C45" s="82" t="s">
        <v>1577</v>
      </c>
      <c r="D45" s="83" t="s">
        <v>1496</v>
      </c>
      <c r="E45" s="106">
        <v>8374.22</v>
      </c>
      <c r="F45" s="14"/>
    </row>
    <row r="46" spans="2:6" ht="15" outlineLevel="2">
      <c r="B46" s="83"/>
      <c r="C46" s="83" t="s">
        <v>1578</v>
      </c>
      <c r="D46" s="83" t="s">
        <v>1496</v>
      </c>
      <c r="E46" s="106">
        <v>8374.22</v>
      </c>
      <c r="F46" s="14"/>
    </row>
    <row r="47" spans="2:6" ht="15" outlineLevel="2">
      <c r="B47" s="83"/>
      <c r="C47" s="83" t="s">
        <v>1579</v>
      </c>
      <c r="D47" s="83" t="s">
        <v>1496</v>
      </c>
      <c r="E47" s="106">
        <v>8374.22</v>
      </c>
      <c r="F47" s="14"/>
    </row>
    <row r="48" spans="2:6" ht="15" outlineLevel="2">
      <c r="B48" s="83"/>
      <c r="C48" s="83" t="s">
        <v>1580</v>
      </c>
      <c r="D48" s="83" t="s">
        <v>1496</v>
      </c>
      <c r="E48" s="106">
        <v>8374.22</v>
      </c>
      <c r="F48" s="14"/>
    </row>
    <row r="49" spans="2:6" ht="15" outlineLevel="2">
      <c r="B49" s="83"/>
      <c r="C49" s="83" t="s">
        <v>1581</v>
      </c>
      <c r="D49" s="83" t="s">
        <v>1496</v>
      </c>
      <c r="E49" s="106">
        <v>7923.84</v>
      </c>
      <c r="F49" s="14"/>
    </row>
    <row r="50" spans="2:6" ht="15" outlineLevel="2">
      <c r="B50" s="83"/>
      <c r="C50" s="83" t="s">
        <v>1582</v>
      </c>
      <c r="D50" s="83" t="s">
        <v>1496</v>
      </c>
      <c r="E50" s="106">
        <v>8017.28</v>
      </c>
      <c r="F50" s="14"/>
    </row>
    <row r="51" spans="2:6" ht="15" outlineLevel="2">
      <c r="B51" s="83"/>
      <c r="C51" s="83" t="s">
        <v>1583</v>
      </c>
      <c r="D51" s="83" t="s">
        <v>1496</v>
      </c>
      <c r="E51" s="106">
        <v>8017.28</v>
      </c>
      <c r="F51" s="14"/>
    </row>
    <row r="52" spans="2:6" ht="15" outlineLevel="2">
      <c r="B52" s="83"/>
      <c r="C52" s="83" t="s">
        <v>1584</v>
      </c>
      <c r="D52" s="83" t="s">
        <v>1496</v>
      </c>
      <c r="E52" s="106">
        <v>8017.28</v>
      </c>
      <c r="F52" s="14"/>
    </row>
    <row r="53" spans="2:6" ht="15" outlineLevel="2">
      <c r="B53" s="83"/>
      <c r="C53" s="83" t="s">
        <v>1585</v>
      </c>
      <c r="D53" s="83" t="s">
        <v>1496</v>
      </c>
      <c r="E53" s="106">
        <v>8017.28</v>
      </c>
      <c r="F53" s="14"/>
    </row>
    <row r="54" spans="2:6" ht="15" outlineLevel="2">
      <c r="B54" s="83"/>
      <c r="C54" s="83" t="s">
        <v>1586</v>
      </c>
      <c r="D54" s="83" t="s">
        <v>1496</v>
      </c>
      <c r="E54" s="106">
        <v>8374.22</v>
      </c>
      <c r="F54" s="14"/>
    </row>
    <row r="55" spans="2:6" ht="15" outlineLevel="2">
      <c r="B55" s="83"/>
      <c r="C55" s="83" t="s">
        <v>1587</v>
      </c>
      <c r="D55" s="83" t="s">
        <v>1496</v>
      </c>
      <c r="E55" s="106">
        <v>8374.22</v>
      </c>
      <c r="F55" s="14"/>
    </row>
    <row r="56" spans="2:6" ht="15" outlineLevel="2">
      <c r="B56" s="89"/>
      <c r="C56" s="83" t="s">
        <v>1588</v>
      </c>
      <c r="D56" s="83" t="s">
        <v>1496</v>
      </c>
      <c r="E56" s="106">
        <v>8374.22</v>
      </c>
      <c r="F56" s="14"/>
    </row>
    <row r="57" spans="1:5" ht="12.75" customHeight="1" outlineLevel="1">
      <c r="A57" s="255" t="s">
        <v>1714</v>
      </c>
      <c r="B57" s="256"/>
      <c r="C57" s="256"/>
      <c r="D57" s="257"/>
      <c r="E57" s="105">
        <f>1.46*2365.6*12</f>
        <v>41445.312</v>
      </c>
    </row>
    <row r="58" spans="1:5" ht="12.75" customHeight="1" outlineLevel="1">
      <c r="A58" s="255" t="s">
        <v>1715</v>
      </c>
      <c r="B58" s="256"/>
      <c r="C58" s="256"/>
      <c r="D58" s="257"/>
      <c r="E58" s="105">
        <f>SUM(E59:E70)</f>
        <v>5973.7</v>
      </c>
    </row>
    <row r="59" spans="2:6" ht="15" outlineLevel="2">
      <c r="B59" s="82" t="s">
        <v>66</v>
      </c>
      <c r="C59" s="82" t="s">
        <v>1577</v>
      </c>
      <c r="D59" s="82" t="s">
        <v>2179</v>
      </c>
      <c r="E59" s="106">
        <v>2164</v>
      </c>
      <c r="F59" s="14"/>
    </row>
    <row r="60" spans="2:6" ht="15" outlineLevel="2">
      <c r="B60" s="83" t="s">
        <v>870</v>
      </c>
      <c r="C60" s="83" t="s">
        <v>1577</v>
      </c>
      <c r="D60" s="83" t="s">
        <v>1500</v>
      </c>
      <c r="E60" s="106">
        <v>42.33</v>
      </c>
      <c r="F60" s="14"/>
    </row>
    <row r="61" spans="2:6" ht="15" outlineLevel="2">
      <c r="B61" s="83" t="s">
        <v>6</v>
      </c>
      <c r="C61" s="83" t="s">
        <v>1577</v>
      </c>
      <c r="D61" s="83" t="s">
        <v>1364</v>
      </c>
      <c r="E61" s="106">
        <v>711.82</v>
      </c>
      <c r="F61" s="14"/>
    </row>
    <row r="62" spans="2:6" ht="15" outlineLevel="2">
      <c r="B62" s="83" t="s">
        <v>1480</v>
      </c>
      <c r="C62" s="83" t="s">
        <v>1578</v>
      </c>
      <c r="D62" s="83" t="s">
        <v>1500</v>
      </c>
      <c r="E62" s="106">
        <v>72</v>
      </c>
      <c r="F62" s="14"/>
    </row>
    <row r="63" spans="2:6" ht="15" outlineLevel="2">
      <c r="B63" s="83" t="s">
        <v>241</v>
      </c>
      <c r="C63" s="83" t="s">
        <v>1578</v>
      </c>
      <c r="D63" s="83" t="s">
        <v>1500</v>
      </c>
      <c r="E63" s="106">
        <v>48.6</v>
      </c>
      <c r="F63" s="14"/>
    </row>
    <row r="64" spans="2:6" ht="15" outlineLevel="2">
      <c r="B64" s="83" t="s">
        <v>2132</v>
      </c>
      <c r="C64" s="83" t="s">
        <v>1579</v>
      </c>
      <c r="D64" s="83" t="s">
        <v>1500</v>
      </c>
      <c r="E64" s="106">
        <v>30.25</v>
      </c>
      <c r="F64" s="14"/>
    </row>
    <row r="65" spans="2:6" ht="15" outlineLevel="2">
      <c r="B65" s="83" t="s">
        <v>2</v>
      </c>
      <c r="C65" s="83" t="s">
        <v>1579</v>
      </c>
      <c r="D65" s="83" t="s">
        <v>1495</v>
      </c>
      <c r="E65" s="106">
        <v>212.16</v>
      </c>
      <c r="F65" s="14"/>
    </row>
    <row r="66" spans="2:6" ht="15" outlineLevel="2">
      <c r="B66" s="83" t="s">
        <v>139</v>
      </c>
      <c r="C66" s="83" t="s">
        <v>1580</v>
      </c>
      <c r="D66" s="83" t="s">
        <v>2233</v>
      </c>
      <c r="E66" s="106">
        <v>578.08</v>
      </c>
      <c r="F66" s="14"/>
    </row>
    <row r="67" spans="2:6" ht="15" outlineLevel="2">
      <c r="B67" s="83" t="s">
        <v>1313</v>
      </c>
      <c r="C67" s="83" t="s">
        <v>1583</v>
      </c>
      <c r="D67" s="83" t="s">
        <v>110</v>
      </c>
      <c r="E67" s="106">
        <v>1205.65</v>
      </c>
      <c r="F67" s="14"/>
    </row>
    <row r="68" spans="2:6" ht="15" outlineLevel="2">
      <c r="B68" s="83" t="s">
        <v>206</v>
      </c>
      <c r="C68" s="83" t="s">
        <v>1587</v>
      </c>
      <c r="D68" s="83" t="s">
        <v>795</v>
      </c>
      <c r="E68" s="106">
        <v>278.3</v>
      </c>
      <c r="F68" s="14"/>
    </row>
    <row r="69" spans="2:6" ht="15" outlineLevel="2">
      <c r="B69" s="83" t="s">
        <v>801</v>
      </c>
      <c r="C69" s="83" t="s">
        <v>1587</v>
      </c>
      <c r="D69" s="83" t="s">
        <v>1500</v>
      </c>
      <c r="E69" s="106">
        <v>182.5</v>
      </c>
      <c r="F69" s="14"/>
    </row>
    <row r="70" spans="2:6" ht="15" outlineLevel="2">
      <c r="B70" s="83" t="s">
        <v>1958</v>
      </c>
      <c r="C70" s="83" t="s">
        <v>1588</v>
      </c>
      <c r="D70" s="83" t="s">
        <v>1960</v>
      </c>
      <c r="E70" s="106">
        <v>448.01</v>
      </c>
      <c r="F70" s="14"/>
    </row>
    <row r="71" spans="1:5" ht="12.75" customHeight="1" outlineLevel="1">
      <c r="A71" s="255" t="s">
        <v>1595</v>
      </c>
      <c r="B71" s="256"/>
      <c r="C71" s="256"/>
      <c r="D71" s="257"/>
      <c r="E71" s="105">
        <f>SUM(E72:E79)</f>
        <v>37705.759999999995</v>
      </c>
    </row>
    <row r="72" spans="2:6" ht="15" outlineLevel="2">
      <c r="B72" s="82" t="s">
        <v>5</v>
      </c>
      <c r="C72" s="82" t="s">
        <v>1577</v>
      </c>
      <c r="D72" s="82" t="s">
        <v>2192</v>
      </c>
      <c r="E72" s="106">
        <v>573.6</v>
      </c>
      <c r="F72" s="14"/>
    </row>
    <row r="73" spans="2:6" ht="15" outlineLevel="2">
      <c r="B73" s="83" t="s">
        <v>2236</v>
      </c>
      <c r="C73" s="83" t="s">
        <v>1579</v>
      </c>
      <c r="D73" s="83" t="s">
        <v>2163</v>
      </c>
      <c r="E73" s="106">
        <v>353.52</v>
      </c>
      <c r="F73" s="14"/>
    </row>
    <row r="74" spans="2:6" ht="15" outlineLevel="2">
      <c r="B74" s="83" t="s">
        <v>312</v>
      </c>
      <c r="C74" s="83" t="s">
        <v>1583</v>
      </c>
      <c r="D74" s="83" t="s">
        <v>1315</v>
      </c>
      <c r="E74" s="106">
        <v>504.29</v>
      </c>
      <c r="F74" s="14"/>
    </row>
    <row r="75" spans="2:6" ht="15" outlineLevel="2">
      <c r="B75" s="83" t="s">
        <v>2434</v>
      </c>
      <c r="C75" s="83" t="s">
        <v>1585</v>
      </c>
      <c r="D75" s="83" t="s">
        <v>2435</v>
      </c>
      <c r="E75" s="106">
        <v>6919</v>
      </c>
      <c r="F75" s="14"/>
    </row>
    <row r="76" spans="2:6" ht="15" outlineLevel="2">
      <c r="B76" s="83" t="s">
        <v>570</v>
      </c>
      <c r="C76" s="83" t="s">
        <v>1586</v>
      </c>
      <c r="D76" s="83" t="s">
        <v>569</v>
      </c>
      <c r="E76" s="106">
        <v>739.08</v>
      </c>
      <c r="F76" s="14"/>
    </row>
    <row r="77" spans="2:6" ht="15" outlineLevel="2">
      <c r="B77" s="83" t="s">
        <v>806</v>
      </c>
      <c r="C77" s="83" t="s">
        <v>1587</v>
      </c>
      <c r="D77" s="83" t="s">
        <v>2348</v>
      </c>
      <c r="E77" s="106">
        <v>8611.38</v>
      </c>
      <c r="F77" s="14"/>
    </row>
    <row r="78" spans="2:6" ht="15" outlineLevel="2">
      <c r="B78" s="83" t="s">
        <v>807</v>
      </c>
      <c r="C78" s="83" t="s">
        <v>1587</v>
      </c>
      <c r="D78" s="83" t="s">
        <v>1642</v>
      </c>
      <c r="E78" s="106">
        <v>15268.69</v>
      </c>
      <c r="F78" s="14"/>
    </row>
    <row r="79" spans="2:6" ht="15" outlineLevel="2">
      <c r="B79" s="83" t="s">
        <v>1304</v>
      </c>
      <c r="C79" s="83" t="s">
        <v>1588</v>
      </c>
      <c r="D79" s="83" t="s">
        <v>859</v>
      </c>
      <c r="E79" s="106">
        <v>4736.2</v>
      </c>
      <c r="F79" s="14"/>
    </row>
    <row r="80" spans="1:5" ht="12.75" customHeight="1" outlineLevel="1">
      <c r="A80" s="255" t="s">
        <v>1718</v>
      </c>
      <c r="B80" s="256"/>
      <c r="C80" s="256"/>
      <c r="D80" s="257"/>
      <c r="E80" s="105">
        <f>SUM(E81:E86)</f>
        <v>4225.45</v>
      </c>
    </row>
    <row r="81" spans="2:6" ht="30" outlineLevel="2">
      <c r="B81" s="82" t="s">
        <v>190</v>
      </c>
      <c r="C81" s="82" t="s">
        <v>1577</v>
      </c>
      <c r="D81" s="82" t="s">
        <v>193</v>
      </c>
      <c r="E81" s="106">
        <v>33.47</v>
      </c>
      <c r="F81" s="14"/>
    </row>
    <row r="82" spans="2:6" ht="15" outlineLevel="2">
      <c r="B82" s="83" t="s">
        <v>2</v>
      </c>
      <c r="C82" s="83" t="s">
        <v>57</v>
      </c>
      <c r="D82" s="83" t="s">
        <v>717</v>
      </c>
      <c r="E82" s="106">
        <v>33.8</v>
      </c>
      <c r="F82" s="14"/>
    </row>
    <row r="83" spans="2:6" ht="15" outlineLevel="2">
      <c r="B83" s="83" t="s">
        <v>2</v>
      </c>
      <c r="C83" s="83" t="s">
        <v>1581</v>
      </c>
      <c r="D83" s="83" t="s">
        <v>2390</v>
      </c>
      <c r="E83" s="106">
        <v>1173.12</v>
      </c>
      <c r="F83" s="14"/>
    </row>
    <row r="84" spans="2:6" ht="15" outlineLevel="2">
      <c r="B84" s="83" t="s">
        <v>2</v>
      </c>
      <c r="C84" s="83" t="s">
        <v>57</v>
      </c>
      <c r="D84" s="83" t="s">
        <v>936</v>
      </c>
      <c r="E84" s="106">
        <v>134.4</v>
      </c>
      <c r="F84" s="14"/>
    </row>
    <row r="85" spans="2:6" ht="15" outlineLevel="2">
      <c r="B85" s="83" t="s">
        <v>1277</v>
      </c>
      <c r="C85" s="83" t="s">
        <v>1587</v>
      </c>
      <c r="D85" s="83" t="s">
        <v>1278</v>
      </c>
      <c r="E85" s="106">
        <v>168.8</v>
      </c>
      <c r="F85" s="14"/>
    </row>
    <row r="86" spans="2:6" ht="15" outlineLevel="2">
      <c r="B86" s="83" t="s">
        <v>904</v>
      </c>
      <c r="C86" s="83" t="s">
        <v>1587</v>
      </c>
      <c r="D86" s="107" t="s">
        <v>2296</v>
      </c>
      <c r="E86" s="106">
        <v>2681.86</v>
      </c>
      <c r="F86" s="14"/>
    </row>
    <row r="87" spans="1:5" ht="15.75" customHeight="1">
      <c r="A87" s="255" t="s">
        <v>1719</v>
      </c>
      <c r="B87" s="256"/>
      <c r="C87" s="256"/>
      <c r="D87" s="257"/>
      <c r="E87" s="105">
        <f>SUM(E88:E88)</f>
        <v>6084</v>
      </c>
    </row>
    <row r="88" spans="2:6" ht="30" outlineLevel="1">
      <c r="B88" s="84" t="s">
        <v>705</v>
      </c>
      <c r="C88" s="84" t="s">
        <v>1583</v>
      </c>
      <c r="D88" s="84" t="s">
        <v>706</v>
      </c>
      <c r="E88" s="106">
        <v>6084</v>
      </c>
      <c r="F88" s="14"/>
    </row>
    <row r="89" spans="1:6" ht="15" customHeight="1" outlineLevel="1">
      <c r="A89" s="255" t="s">
        <v>0</v>
      </c>
      <c r="B89" s="256"/>
      <c r="C89" s="256"/>
      <c r="D89" s="257"/>
      <c r="E89" s="105">
        <f>0.1*2365.6*12</f>
        <v>2838.7200000000003</v>
      </c>
      <c r="F89" s="14"/>
    </row>
    <row r="90" spans="1:6" ht="14.25" customHeight="1" outlineLevel="1">
      <c r="A90" s="255" t="s">
        <v>467</v>
      </c>
      <c r="B90" s="256"/>
      <c r="C90" s="256"/>
      <c r="D90" s="257"/>
      <c r="E90" s="105">
        <v>3166.66</v>
      </c>
      <c r="F90" s="14"/>
    </row>
    <row r="91" spans="2:6" ht="15">
      <c r="B91" s="270" t="s">
        <v>59</v>
      </c>
      <c r="C91" s="270"/>
      <c r="D91" s="270"/>
      <c r="E91" s="43">
        <f>1.57*2365.6*12</f>
        <v>44567.904</v>
      </c>
      <c r="F91" s="14"/>
    </row>
    <row r="92" spans="2:6" ht="15">
      <c r="B92" s="270" t="s">
        <v>256</v>
      </c>
      <c r="C92" s="270"/>
      <c r="D92" s="270"/>
      <c r="E92" s="43">
        <f>10.3*(E94+E95)/100</f>
        <v>58865.53824</v>
      </c>
      <c r="F92" s="14"/>
    </row>
    <row r="93" spans="2:5" ht="15">
      <c r="B93" s="272" t="s">
        <v>659</v>
      </c>
      <c r="C93" s="272"/>
      <c r="D93" s="272"/>
      <c r="E93" s="44">
        <f>E92+E91+E8+E3</f>
        <v>463991.78423999995</v>
      </c>
    </row>
    <row r="94" spans="2:6" ht="15">
      <c r="B94" s="270" t="s">
        <v>258</v>
      </c>
      <c r="C94" s="270"/>
      <c r="D94" s="270"/>
      <c r="E94" s="43">
        <v>498670.56</v>
      </c>
      <c r="F94" s="14"/>
    </row>
    <row r="95" spans="2:5" ht="15">
      <c r="B95" s="270" t="s">
        <v>259</v>
      </c>
      <c r="C95" s="270"/>
      <c r="D95" s="270"/>
      <c r="E95" s="43">
        <v>72839.52</v>
      </c>
    </row>
    <row r="96" spans="2:5" ht="15">
      <c r="B96" s="270" t="s">
        <v>660</v>
      </c>
      <c r="C96" s="270"/>
      <c r="D96" s="270"/>
      <c r="E96" s="43">
        <v>1569261.71</v>
      </c>
    </row>
    <row r="97" spans="2:5" ht="15">
      <c r="B97" s="270" t="s">
        <v>2340</v>
      </c>
      <c r="C97" s="270"/>
      <c r="D97" s="270"/>
      <c r="E97" s="43">
        <v>1194615.39</v>
      </c>
    </row>
    <row r="98" spans="2:5" ht="15">
      <c r="B98" s="272" t="s">
        <v>2341</v>
      </c>
      <c r="C98" s="272"/>
      <c r="D98" s="272"/>
      <c r="E98" s="44">
        <f>'[5]Амурская 14'!$E$89+E93</f>
        <v>1325589.98424</v>
      </c>
    </row>
    <row r="99" spans="2:5" ht="15">
      <c r="B99" s="270" t="s">
        <v>732</v>
      </c>
      <c r="C99" s="270"/>
      <c r="D99" s="270"/>
      <c r="E99" s="43">
        <v>229593.3</v>
      </c>
    </row>
    <row r="100" spans="2:5" ht="15">
      <c r="B100" s="270" t="s">
        <v>733</v>
      </c>
      <c r="C100" s="270"/>
      <c r="D100" s="270"/>
      <c r="E100" s="43">
        <v>174774.7</v>
      </c>
    </row>
    <row r="101" spans="2:5" ht="15">
      <c r="B101" s="272" t="s">
        <v>734</v>
      </c>
      <c r="C101" s="272"/>
      <c r="D101" s="272"/>
      <c r="E101" s="44">
        <f>E104+'[5]Амурская 14'!$E$92</f>
        <v>539745</v>
      </c>
    </row>
    <row r="102" spans="2:5" ht="15">
      <c r="B102" s="270" t="s">
        <v>260</v>
      </c>
      <c r="C102" s="270"/>
      <c r="D102" s="270"/>
      <c r="E102" s="43">
        <v>395383.13</v>
      </c>
    </row>
    <row r="103" spans="2:5" ht="15">
      <c r="B103" s="270" t="s">
        <v>735</v>
      </c>
      <c r="C103" s="270"/>
      <c r="D103" s="270"/>
      <c r="E103" s="43">
        <v>57752.59</v>
      </c>
    </row>
    <row r="104" spans="2:5" ht="15">
      <c r="B104" s="272" t="s">
        <v>736</v>
      </c>
      <c r="C104" s="272"/>
      <c r="D104" s="272"/>
      <c r="E104" s="44">
        <v>0</v>
      </c>
    </row>
    <row r="105" spans="2:5" ht="28.5" customHeight="1">
      <c r="B105" s="271" t="s">
        <v>737</v>
      </c>
      <c r="C105" s="271"/>
      <c r="D105" s="271"/>
      <c r="E105" s="45">
        <f>E96-E98</f>
        <v>243671.72576000006</v>
      </c>
    </row>
    <row r="106" spans="2:5" ht="28.5" customHeight="1">
      <c r="B106" s="271" t="s">
        <v>738</v>
      </c>
      <c r="C106" s="271"/>
      <c r="D106" s="271"/>
      <c r="E106" s="45">
        <f>E99-E101</f>
        <v>-310151.7</v>
      </c>
    </row>
    <row r="107" spans="2:5" ht="29.25" customHeight="1">
      <c r="B107" s="271" t="s">
        <v>2273</v>
      </c>
      <c r="C107" s="271"/>
      <c r="D107" s="271"/>
      <c r="E107" s="45">
        <f>E97-E98</f>
        <v>-130974.59424</v>
      </c>
    </row>
    <row r="108" ht="15">
      <c r="E108" s="90"/>
    </row>
    <row r="109" spans="1:5" ht="105">
      <c r="A109" s="83" t="s">
        <v>492</v>
      </c>
      <c r="E109" s="90"/>
    </row>
    <row r="110" spans="1:5" ht="90">
      <c r="A110" s="83" t="s">
        <v>493</v>
      </c>
      <c r="E110" s="90"/>
    </row>
    <row r="111" spans="1:5" ht="240">
      <c r="A111" s="83" t="s">
        <v>494</v>
      </c>
      <c r="E111" s="90"/>
    </row>
    <row r="112" spans="1:5" ht="90">
      <c r="A112" s="83" t="s">
        <v>495</v>
      </c>
      <c r="E112" s="90"/>
    </row>
  </sheetData>
  <sheetProtection/>
  <mergeCells count="34">
    <mergeCell ref="A1:E1"/>
    <mergeCell ref="A4:D4"/>
    <mergeCell ref="A6:D6"/>
    <mergeCell ref="A9:D9"/>
    <mergeCell ref="A80:D80"/>
    <mergeCell ref="A87:D87"/>
    <mergeCell ref="A20:D20"/>
    <mergeCell ref="A23:D23"/>
    <mergeCell ref="A30:D30"/>
    <mergeCell ref="A35:D35"/>
    <mergeCell ref="B93:D93"/>
    <mergeCell ref="B92:D92"/>
    <mergeCell ref="B91:D91"/>
    <mergeCell ref="A37:D37"/>
    <mergeCell ref="A44:D44"/>
    <mergeCell ref="A57:D57"/>
    <mergeCell ref="A89:D89"/>
    <mergeCell ref="A90:D90"/>
    <mergeCell ref="A58:D58"/>
    <mergeCell ref="A71:D71"/>
    <mergeCell ref="B107:D107"/>
    <mergeCell ref="B99:D99"/>
    <mergeCell ref="B100:D100"/>
    <mergeCell ref="B101:D101"/>
    <mergeCell ref="B102:D102"/>
    <mergeCell ref="B105:D105"/>
    <mergeCell ref="B106:D106"/>
    <mergeCell ref="B104:D104"/>
    <mergeCell ref="B97:D97"/>
    <mergeCell ref="B103:D103"/>
    <mergeCell ref="B96:D96"/>
    <mergeCell ref="B94:D94"/>
    <mergeCell ref="B98:D98"/>
    <mergeCell ref="B95:D95"/>
  </mergeCells>
  <printOptions/>
  <pageMargins left="0.31496062992125984" right="0.1968503937007874" top="0.31496062992125984" bottom="0.2362204724409449" header="0.15748031496062992" footer="0.15748031496062992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zoomScalePageLayoutView="0" workbookViewId="0" topLeftCell="A85">
      <selection activeCell="D19" sqref="D19"/>
    </sheetView>
  </sheetViews>
  <sheetFormatPr defaultColWidth="13.421875" defaultRowHeight="12.75" outlineLevelRow="2"/>
  <cols>
    <col min="1" max="1" width="2.7109375" style="42" customWidth="1"/>
    <col min="2" max="2" width="11.8515625" style="42" customWidth="1"/>
    <col min="3" max="3" width="14.7109375" style="42" customWidth="1"/>
    <col min="4" max="4" width="76.421875" style="42" customWidth="1"/>
    <col min="5" max="5" width="14.57421875" style="42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258" t="s">
        <v>468</v>
      </c>
      <c r="B1" s="315"/>
      <c r="C1" s="315"/>
      <c r="D1" s="315"/>
      <c r="E1" s="316"/>
    </row>
    <row r="2" spans="2:6" ht="15"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91"/>
      <c r="B3" s="308"/>
      <c r="C3" s="308"/>
      <c r="D3" s="155" t="s">
        <v>1575</v>
      </c>
      <c r="E3" s="130">
        <f>E4+E6+E8+E10</f>
        <v>1328901.3499999999</v>
      </c>
    </row>
    <row r="4" spans="1:5" ht="12.75" customHeight="1" outlineLevel="1">
      <c r="A4" s="255" t="s">
        <v>1589</v>
      </c>
      <c r="B4" s="256"/>
      <c r="C4" s="256"/>
      <c r="D4" s="257"/>
      <c r="E4" s="105">
        <f>SUM(E5:E5)</f>
        <v>81417.91</v>
      </c>
    </row>
    <row r="5" spans="1:6" ht="15" outlineLevel="2">
      <c r="A5" s="81"/>
      <c r="B5" s="84" t="s">
        <v>967</v>
      </c>
      <c r="C5" s="84" t="s">
        <v>1588</v>
      </c>
      <c r="D5" s="84" t="s">
        <v>2071</v>
      </c>
      <c r="E5" s="106">
        <v>81417.91</v>
      </c>
      <c r="F5" s="14"/>
    </row>
    <row r="6" spans="1:5" ht="12.75" customHeight="1" outlineLevel="1">
      <c r="A6" s="255" t="s">
        <v>1593</v>
      </c>
      <c r="B6" s="256"/>
      <c r="C6" s="256"/>
      <c r="D6" s="257"/>
      <c r="E6" s="105">
        <f>SUM(E7:E7)</f>
        <v>1241604</v>
      </c>
    </row>
    <row r="7" spans="1:6" ht="30" outlineLevel="2">
      <c r="A7" s="81"/>
      <c r="B7" s="84" t="s">
        <v>1907</v>
      </c>
      <c r="C7" s="84" t="s">
        <v>1582</v>
      </c>
      <c r="D7" s="84" t="s">
        <v>1909</v>
      </c>
      <c r="E7" s="106">
        <v>1241604</v>
      </c>
      <c r="F7" s="14"/>
    </row>
    <row r="8" spans="1:5" ht="14.25" customHeight="1" outlineLevel="1">
      <c r="A8" s="255" t="s">
        <v>1594</v>
      </c>
      <c r="B8" s="256"/>
      <c r="C8" s="256"/>
      <c r="D8" s="257"/>
      <c r="E8" s="105">
        <f>SUM(E9:E9)</f>
        <v>4679.44</v>
      </c>
    </row>
    <row r="9" spans="1:6" ht="15" outlineLevel="2">
      <c r="A9" s="81"/>
      <c r="B9" s="85" t="s">
        <v>699</v>
      </c>
      <c r="C9" s="85" t="s">
        <v>1577</v>
      </c>
      <c r="D9" s="85" t="s">
        <v>2464</v>
      </c>
      <c r="E9" s="106">
        <v>4679.44</v>
      </c>
      <c r="F9" s="14"/>
    </row>
    <row r="10" spans="1:5" ht="14.25" customHeight="1" outlineLevel="1">
      <c r="A10" s="255" t="s">
        <v>1595</v>
      </c>
      <c r="B10" s="256"/>
      <c r="C10" s="256"/>
      <c r="D10" s="257"/>
      <c r="E10" s="105">
        <f>SUM(E11:E11)</f>
        <v>1200</v>
      </c>
    </row>
    <row r="11" spans="1:6" ht="12.75" customHeight="1" outlineLevel="2">
      <c r="A11" s="81"/>
      <c r="B11" s="312" t="s">
        <v>282</v>
      </c>
      <c r="C11" s="313"/>
      <c r="D11" s="314"/>
      <c r="E11" s="106">
        <v>1200</v>
      </c>
      <c r="F11" s="14"/>
    </row>
    <row r="12" spans="1:5" ht="13.5" customHeight="1">
      <c r="A12" s="91"/>
      <c r="B12" s="171"/>
      <c r="C12" s="171"/>
      <c r="D12" s="155" t="s">
        <v>1600</v>
      </c>
      <c r="E12" s="130">
        <f>E13+E20+E27+E33+E45+E50+E63+E64+E77+E83+E90+E91</f>
        <v>386689.36199999996</v>
      </c>
    </row>
    <row r="13" spans="1:5" ht="15" customHeight="1" outlineLevel="1">
      <c r="A13" s="317" t="s">
        <v>1576</v>
      </c>
      <c r="B13" s="318"/>
      <c r="C13" s="318"/>
      <c r="D13" s="319"/>
      <c r="E13" s="105">
        <f>SUM(E14:E19)</f>
        <v>100902.87000000001</v>
      </c>
    </row>
    <row r="14" spans="2:6" ht="15" outlineLevel="2">
      <c r="B14" s="83" t="s">
        <v>182</v>
      </c>
      <c r="C14" s="83" t="s">
        <v>1580</v>
      </c>
      <c r="D14" s="83" t="s">
        <v>1414</v>
      </c>
      <c r="E14" s="106">
        <v>6036.81</v>
      </c>
      <c r="F14" s="14"/>
    </row>
    <row r="15" spans="2:6" ht="15" outlineLevel="2">
      <c r="B15" s="83" t="s">
        <v>2</v>
      </c>
      <c r="C15" s="83" t="s">
        <v>1580</v>
      </c>
      <c r="D15" s="83" t="s">
        <v>2277</v>
      </c>
      <c r="E15" s="106">
        <v>59.95</v>
      </c>
      <c r="F15" s="14"/>
    </row>
    <row r="16" spans="2:6" ht="29.25" customHeight="1" outlineLevel="2">
      <c r="B16" s="83" t="s">
        <v>508</v>
      </c>
      <c r="C16" s="83" t="s">
        <v>1582</v>
      </c>
      <c r="D16" s="83" t="s">
        <v>509</v>
      </c>
      <c r="E16" s="106">
        <v>444.58</v>
      </c>
      <c r="F16" s="14"/>
    </row>
    <row r="17" spans="2:6" ht="90" outlineLevel="2">
      <c r="B17" s="83" t="s">
        <v>714</v>
      </c>
      <c r="C17" s="83" t="s">
        <v>1583</v>
      </c>
      <c r="D17" s="83" t="s">
        <v>509</v>
      </c>
      <c r="E17" s="106">
        <v>1076.92</v>
      </c>
      <c r="F17" s="14"/>
    </row>
    <row r="18" spans="2:6" ht="15" outlineLevel="2">
      <c r="B18" s="83" t="s">
        <v>2</v>
      </c>
      <c r="C18" s="83" t="s">
        <v>1583</v>
      </c>
      <c r="D18" s="83" t="s">
        <v>855</v>
      </c>
      <c r="E18" s="106">
        <v>80.15</v>
      </c>
      <c r="F18" s="14"/>
    </row>
    <row r="19" spans="2:6" ht="15" outlineLevel="2">
      <c r="B19" s="83" t="s">
        <v>805</v>
      </c>
      <c r="C19" s="83" t="s">
        <v>1587</v>
      </c>
      <c r="D19" s="83" t="s">
        <v>2396</v>
      </c>
      <c r="E19" s="106">
        <v>93204.46</v>
      </c>
      <c r="F19" s="14"/>
    </row>
    <row r="20" spans="1:5" ht="13.5" customHeight="1" outlineLevel="1">
      <c r="A20" s="255" t="s">
        <v>1589</v>
      </c>
      <c r="B20" s="256"/>
      <c r="C20" s="256"/>
      <c r="D20" s="257"/>
      <c r="E20" s="105">
        <f>SUM(E21:E26)</f>
        <v>18847.289999999997</v>
      </c>
    </row>
    <row r="21" spans="2:6" ht="30" outlineLevel="2">
      <c r="B21" s="83" t="s">
        <v>1465</v>
      </c>
      <c r="C21" s="83" t="s">
        <v>1578</v>
      </c>
      <c r="D21" s="83" t="s">
        <v>239</v>
      </c>
      <c r="E21" s="106">
        <v>751.31</v>
      </c>
      <c r="F21" s="14"/>
    </row>
    <row r="22" spans="2:6" ht="15" outlineLevel="2">
      <c r="B22" s="83" t="s">
        <v>875</v>
      </c>
      <c r="C22" s="83" t="s">
        <v>1582</v>
      </c>
      <c r="D22" s="83" t="s">
        <v>1853</v>
      </c>
      <c r="E22" s="106">
        <v>216.04</v>
      </c>
      <c r="F22" s="14"/>
    </row>
    <row r="23" spans="2:6" ht="15" outlineLevel="2">
      <c r="B23" s="83" t="s">
        <v>26</v>
      </c>
      <c r="C23" s="83" t="s">
        <v>1583</v>
      </c>
      <c r="D23" s="83" t="s">
        <v>171</v>
      </c>
      <c r="E23" s="106">
        <v>1638.36</v>
      </c>
      <c r="F23" s="14"/>
    </row>
    <row r="24" spans="2:6" ht="15" outlineLevel="2">
      <c r="B24" s="83" t="s">
        <v>26</v>
      </c>
      <c r="C24" s="83" t="s">
        <v>1583</v>
      </c>
      <c r="D24" s="83" t="s">
        <v>1852</v>
      </c>
      <c r="E24" s="106">
        <v>13313.71</v>
      </c>
      <c r="F24" s="14"/>
    </row>
    <row r="25" spans="2:6" ht="15" outlineLevel="2">
      <c r="B25" s="83" t="s">
        <v>1275</v>
      </c>
      <c r="C25" s="83" t="s">
        <v>1587</v>
      </c>
      <c r="D25" s="83" t="s">
        <v>1276</v>
      </c>
      <c r="E25" s="106">
        <v>2883.87</v>
      </c>
      <c r="F25" s="14"/>
    </row>
    <row r="26" spans="2:6" ht="15" outlineLevel="2">
      <c r="B26" s="83" t="s">
        <v>1072</v>
      </c>
      <c r="C26" s="83" t="s">
        <v>1588</v>
      </c>
      <c r="D26" s="83" t="s">
        <v>1073</v>
      </c>
      <c r="E26" s="106">
        <v>44</v>
      </c>
      <c r="F26" s="14"/>
    </row>
    <row r="27" spans="1:5" ht="15.75" customHeight="1" outlineLevel="1">
      <c r="A27" s="255" t="s">
        <v>1590</v>
      </c>
      <c r="B27" s="256"/>
      <c r="C27" s="256"/>
      <c r="D27" s="257"/>
      <c r="E27" s="105">
        <f>SUM(E28:E32)</f>
        <v>7472.9</v>
      </c>
    </row>
    <row r="28" spans="2:6" ht="15" outlineLevel="2">
      <c r="B28" s="87" t="s">
        <v>836</v>
      </c>
      <c r="C28" s="83" t="s">
        <v>1580</v>
      </c>
      <c r="D28" s="83" t="s">
        <v>1012</v>
      </c>
      <c r="E28" s="106">
        <v>163.5</v>
      </c>
      <c r="F28" s="14"/>
    </row>
    <row r="29" spans="2:6" ht="15" outlineLevel="2">
      <c r="B29" s="87" t="s">
        <v>2</v>
      </c>
      <c r="C29" s="83" t="s">
        <v>1581</v>
      </c>
      <c r="D29" s="83" t="s">
        <v>940</v>
      </c>
      <c r="E29" s="106">
        <v>165.51</v>
      </c>
      <c r="F29" s="14"/>
    </row>
    <row r="30" spans="2:6" ht="45" outlineLevel="2">
      <c r="B30" s="87" t="s">
        <v>929</v>
      </c>
      <c r="C30" s="83" t="s">
        <v>1584</v>
      </c>
      <c r="D30" s="83" t="s">
        <v>760</v>
      </c>
      <c r="E30" s="106">
        <v>5627.7</v>
      </c>
      <c r="F30" s="14"/>
    </row>
    <row r="31" spans="2:6" ht="30" outlineLevel="2">
      <c r="B31" s="87" t="s">
        <v>190</v>
      </c>
      <c r="C31" s="83" t="s">
        <v>1586</v>
      </c>
      <c r="D31" s="83" t="s">
        <v>783</v>
      </c>
      <c r="E31" s="106">
        <v>1470.66</v>
      </c>
      <c r="F31" s="14"/>
    </row>
    <row r="32" spans="2:6" ht="15" outlineLevel="2">
      <c r="B32" s="87" t="s">
        <v>1199</v>
      </c>
      <c r="C32" s="83" t="s">
        <v>1587</v>
      </c>
      <c r="D32" s="83" t="s">
        <v>1179</v>
      </c>
      <c r="E32" s="106">
        <v>45.53</v>
      </c>
      <c r="F32" s="14"/>
    </row>
    <row r="33" spans="1:5" ht="16.5" customHeight="1" outlineLevel="1">
      <c r="A33" s="255" t="s">
        <v>1591</v>
      </c>
      <c r="B33" s="256"/>
      <c r="C33" s="256"/>
      <c r="D33" s="257"/>
      <c r="E33" s="105">
        <f>SUM(E34:E44)</f>
        <v>28546.2</v>
      </c>
    </row>
    <row r="34" spans="2:6" ht="15" outlineLevel="2">
      <c r="B34" s="88" t="s">
        <v>1267</v>
      </c>
      <c r="C34" s="82" t="s">
        <v>1577</v>
      </c>
      <c r="D34" s="82" t="s">
        <v>862</v>
      </c>
      <c r="E34" s="106">
        <v>1316.88</v>
      </c>
      <c r="F34" s="14"/>
    </row>
    <row r="35" spans="2:6" ht="15" outlineLevel="2">
      <c r="B35" s="87" t="s">
        <v>11</v>
      </c>
      <c r="C35" s="83" t="s">
        <v>1579</v>
      </c>
      <c r="D35" s="83" t="s">
        <v>2235</v>
      </c>
      <c r="E35" s="106">
        <v>3181.09</v>
      </c>
      <c r="F35" s="14"/>
    </row>
    <row r="36" spans="2:6" ht="15" outlineLevel="2">
      <c r="B36" s="87" t="s">
        <v>879</v>
      </c>
      <c r="C36" s="83" t="s">
        <v>1579</v>
      </c>
      <c r="D36" s="83" t="s">
        <v>2364</v>
      </c>
      <c r="E36" s="106">
        <v>713.75</v>
      </c>
      <c r="F36" s="14"/>
    </row>
    <row r="37" spans="2:6" ht="15" outlineLevel="2">
      <c r="B37" s="87" t="s">
        <v>484</v>
      </c>
      <c r="C37" s="83" t="s">
        <v>1580</v>
      </c>
      <c r="D37" s="83" t="s">
        <v>831</v>
      </c>
      <c r="E37" s="106">
        <v>876.9</v>
      </c>
      <c r="F37" s="14"/>
    </row>
    <row r="38" spans="2:6" ht="15" outlineLevel="2">
      <c r="B38" s="87" t="s">
        <v>103</v>
      </c>
      <c r="C38" s="83" t="s">
        <v>1582</v>
      </c>
      <c r="D38" s="83" t="s">
        <v>307</v>
      </c>
      <c r="E38" s="106">
        <v>899.84</v>
      </c>
      <c r="F38" s="14"/>
    </row>
    <row r="39" spans="2:6" ht="15" outlineLevel="2">
      <c r="B39" s="87" t="s">
        <v>52</v>
      </c>
      <c r="C39" s="83" t="s">
        <v>1583</v>
      </c>
      <c r="D39" s="83" t="s">
        <v>315</v>
      </c>
      <c r="E39" s="106">
        <v>1097.99</v>
      </c>
      <c r="F39" s="14"/>
    </row>
    <row r="40" spans="2:6" ht="15" outlineLevel="2">
      <c r="B40" s="87" t="s">
        <v>585</v>
      </c>
      <c r="C40" s="83" t="s">
        <v>1585</v>
      </c>
      <c r="D40" s="83" t="s">
        <v>2299</v>
      </c>
      <c r="E40" s="106">
        <v>7956.68</v>
      </c>
      <c r="F40" s="14"/>
    </row>
    <row r="41" spans="2:6" ht="15" outlineLevel="2">
      <c r="B41" s="87" t="s">
        <v>2020</v>
      </c>
      <c r="C41" s="83" t="s">
        <v>1586</v>
      </c>
      <c r="D41" s="83" t="s">
        <v>2021</v>
      </c>
      <c r="E41" s="106">
        <v>3808.66</v>
      </c>
      <c r="F41" s="14"/>
    </row>
    <row r="42" spans="2:6" ht="15" outlineLevel="2">
      <c r="B42" s="87" t="s">
        <v>249</v>
      </c>
      <c r="C42" s="83" t="s">
        <v>1586</v>
      </c>
      <c r="D42" s="83" t="s">
        <v>1927</v>
      </c>
      <c r="E42" s="106">
        <v>989</v>
      </c>
      <c r="F42" s="14"/>
    </row>
    <row r="43" spans="2:6" ht="15" outlineLevel="2">
      <c r="B43" s="87" t="s">
        <v>1303</v>
      </c>
      <c r="C43" s="83" t="s">
        <v>1588</v>
      </c>
      <c r="D43" s="83" t="s">
        <v>2298</v>
      </c>
      <c r="E43" s="106">
        <v>5570.41</v>
      </c>
      <c r="F43" s="14"/>
    </row>
    <row r="44" spans="2:6" ht="15" outlineLevel="2">
      <c r="B44" s="87" t="s">
        <v>1951</v>
      </c>
      <c r="C44" s="83" t="s">
        <v>1588</v>
      </c>
      <c r="D44" s="83" t="s">
        <v>1952</v>
      </c>
      <c r="E44" s="106">
        <v>2135</v>
      </c>
      <c r="F44" s="14"/>
    </row>
    <row r="45" spans="1:5" ht="13.5" customHeight="1" outlineLevel="1">
      <c r="A45" s="255" t="s">
        <v>1599</v>
      </c>
      <c r="B45" s="256"/>
      <c r="C45" s="256"/>
      <c r="D45" s="257"/>
      <c r="E45" s="105">
        <f>SUM(E46:E49)</f>
        <v>8196.82</v>
      </c>
    </row>
    <row r="46" spans="2:6" ht="15" outlineLevel="2">
      <c r="B46" s="83" t="s">
        <v>18</v>
      </c>
      <c r="C46" s="83" t="s">
        <v>1579</v>
      </c>
      <c r="D46" s="83" t="s">
        <v>2352</v>
      </c>
      <c r="E46" s="106">
        <v>2690.61</v>
      </c>
      <c r="F46" s="14"/>
    </row>
    <row r="47" spans="2:6" ht="15" outlineLevel="2">
      <c r="B47" s="83" t="s">
        <v>1312</v>
      </c>
      <c r="C47" s="83" t="s">
        <v>1583</v>
      </c>
      <c r="D47" s="83" t="s">
        <v>1311</v>
      </c>
      <c r="E47" s="106">
        <v>922</v>
      </c>
      <c r="F47" s="14"/>
    </row>
    <row r="48" spans="2:6" ht="15" outlineLevel="2">
      <c r="B48" s="83" t="s">
        <v>620</v>
      </c>
      <c r="C48" s="83" t="s">
        <v>1584</v>
      </c>
      <c r="D48" s="83" t="s">
        <v>622</v>
      </c>
      <c r="E48" s="106">
        <v>1286.6</v>
      </c>
      <c r="F48" s="14"/>
    </row>
    <row r="49" spans="2:6" ht="15" outlineLevel="2">
      <c r="B49" s="83" t="s">
        <v>1653</v>
      </c>
      <c r="C49" s="83" t="s">
        <v>1585</v>
      </c>
      <c r="D49" s="83" t="s">
        <v>1654</v>
      </c>
      <c r="E49" s="106">
        <v>3297.61</v>
      </c>
      <c r="F49" s="14"/>
    </row>
    <row r="50" spans="1:5" ht="12.75" customHeight="1" outlineLevel="1">
      <c r="A50" s="255" t="s">
        <v>1713</v>
      </c>
      <c r="B50" s="256"/>
      <c r="C50" s="256"/>
      <c r="D50" s="257"/>
      <c r="E50" s="105">
        <f>SUM(E51:E62)</f>
        <v>141808.51999999996</v>
      </c>
    </row>
    <row r="51" spans="2:6" ht="15" outlineLevel="2">
      <c r="B51" s="82"/>
      <c r="C51" s="82" t="s">
        <v>1577</v>
      </c>
      <c r="D51" s="82" t="s">
        <v>1496</v>
      </c>
      <c r="E51" s="106">
        <v>12084.14</v>
      </c>
      <c r="F51" s="14"/>
    </row>
    <row r="52" spans="2:6" ht="15" outlineLevel="2">
      <c r="B52" s="83"/>
      <c r="C52" s="83" t="s">
        <v>1578</v>
      </c>
      <c r="D52" s="83" t="s">
        <v>1496</v>
      </c>
      <c r="E52" s="106">
        <v>11949.31</v>
      </c>
      <c r="F52" s="14"/>
    </row>
    <row r="53" spans="2:6" ht="15" outlineLevel="2">
      <c r="B53" s="83"/>
      <c r="C53" s="83" t="s">
        <v>1579</v>
      </c>
      <c r="D53" s="83" t="s">
        <v>1496</v>
      </c>
      <c r="E53" s="106">
        <v>12084.14</v>
      </c>
      <c r="F53" s="14"/>
    </row>
    <row r="54" spans="2:6" ht="15" outlineLevel="2">
      <c r="B54" s="83"/>
      <c r="C54" s="83" t="s">
        <v>1580</v>
      </c>
      <c r="D54" s="83" t="s">
        <v>1496</v>
      </c>
      <c r="E54" s="106">
        <v>12084.14</v>
      </c>
      <c r="F54" s="14"/>
    </row>
    <row r="55" spans="2:6" ht="15" outlineLevel="2">
      <c r="B55" s="83"/>
      <c r="C55" s="83" t="s">
        <v>1581</v>
      </c>
      <c r="D55" s="83" t="s">
        <v>1496</v>
      </c>
      <c r="E55" s="106">
        <v>11077.53</v>
      </c>
      <c r="F55" s="14"/>
    </row>
    <row r="56" spans="2:6" ht="15" outlineLevel="2">
      <c r="B56" s="83"/>
      <c r="C56" s="83" t="s">
        <v>1582</v>
      </c>
      <c r="D56" s="83" t="s">
        <v>1496</v>
      </c>
      <c r="E56" s="106">
        <v>11574.21</v>
      </c>
      <c r="F56" s="14"/>
    </row>
    <row r="57" spans="2:6" ht="15" outlineLevel="2">
      <c r="B57" s="83"/>
      <c r="C57" s="83" t="s">
        <v>1583</v>
      </c>
      <c r="D57" s="83" t="s">
        <v>1496</v>
      </c>
      <c r="E57" s="106">
        <v>11574.21</v>
      </c>
      <c r="F57" s="14"/>
    </row>
    <row r="58" spans="2:6" ht="15" outlineLevel="2">
      <c r="B58" s="83"/>
      <c r="C58" s="83" t="s">
        <v>1584</v>
      </c>
      <c r="D58" s="83" t="s">
        <v>1496</v>
      </c>
      <c r="E58" s="106">
        <v>11574.21</v>
      </c>
      <c r="F58" s="14"/>
    </row>
    <row r="59" spans="2:6" ht="15" outlineLevel="2">
      <c r="B59" s="83"/>
      <c r="C59" s="83" t="s">
        <v>1585</v>
      </c>
      <c r="D59" s="83" t="s">
        <v>1496</v>
      </c>
      <c r="E59" s="106">
        <v>11574.21</v>
      </c>
      <c r="F59" s="14"/>
    </row>
    <row r="60" spans="2:6" ht="15" outlineLevel="2">
      <c r="B60" s="83"/>
      <c r="C60" s="83" t="s">
        <v>1586</v>
      </c>
      <c r="D60" s="83" t="s">
        <v>1496</v>
      </c>
      <c r="E60" s="106">
        <v>12084.14</v>
      </c>
      <c r="F60" s="14"/>
    </row>
    <row r="61" spans="2:6" ht="15" outlineLevel="2">
      <c r="B61" s="83"/>
      <c r="C61" s="83" t="s">
        <v>1587</v>
      </c>
      <c r="D61" s="83" t="s">
        <v>1496</v>
      </c>
      <c r="E61" s="106">
        <v>12074.14</v>
      </c>
      <c r="F61" s="14"/>
    </row>
    <row r="62" spans="2:6" ht="15" outlineLevel="2">
      <c r="B62" s="89"/>
      <c r="C62" s="83" t="s">
        <v>1588</v>
      </c>
      <c r="D62" s="83" t="s">
        <v>1496</v>
      </c>
      <c r="E62" s="106">
        <v>12074.14</v>
      </c>
      <c r="F62" s="14"/>
    </row>
    <row r="63" spans="1:5" ht="14.25" customHeight="1" outlineLevel="1">
      <c r="A63" s="255" t="s">
        <v>1714</v>
      </c>
      <c r="B63" s="256"/>
      <c r="C63" s="256"/>
      <c r="D63" s="257"/>
      <c r="E63" s="105">
        <f>1.46*3413.6*12</f>
        <v>59806.272</v>
      </c>
    </row>
    <row r="64" spans="1:5" ht="13.5" customHeight="1" outlineLevel="1">
      <c r="A64" s="255" t="s">
        <v>1715</v>
      </c>
      <c r="B64" s="256"/>
      <c r="C64" s="256"/>
      <c r="D64" s="257"/>
      <c r="E64" s="105">
        <f>SUM(E65:E76)</f>
        <v>5586.050000000001</v>
      </c>
    </row>
    <row r="65" spans="2:6" ht="15" outlineLevel="2">
      <c r="B65" s="82" t="s">
        <v>870</v>
      </c>
      <c r="C65" s="82" t="s">
        <v>1577</v>
      </c>
      <c r="D65" s="82" t="s">
        <v>1500</v>
      </c>
      <c r="E65" s="106">
        <v>42.33</v>
      </c>
      <c r="F65" s="14"/>
    </row>
    <row r="66" spans="2:6" ht="15" outlineLevel="2">
      <c r="B66" s="83" t="s">
        <v>6</v>
      </c>
      <c r="C66" s="83" t="s">
        <v>1577</v>
      </c>
      <c r="D66" s="83" t="s">
        <v>1364</v>
      </c>
      <c r="E66" s="106">
        <v>711.82</v>
      </c>
      <c r="F66" s="14"/>
    </row>
    <row r="67" spans="2:6" ht="15" outlineLevel="2">
      <c r="B67" s="83" t="s">
        <v>1480</v>
      </c>
      <c r="C67" s="83" t="s">
        <v>1578</v>
      </c>
      <c r="D67" s="83" t="s">
        <v>1500</v>
      </c>
      <c r="E67" s="106">
        <v>72</v>
      </c>
      <c r="F67" s="14"/>
    </row>
    <row r="68" spans="2:6" ht="15" outlineLevel="2">
      <c r="B68" s="83" t="s">
        <v>241</v>
      </c>
      <c r="C68" s="83" t="s">
        <v>1578</v>
      </c>
      <c r="D68" s="83" t="s">
        <v>1500</v>
      </c>
      <c r="E68" s="106">
        <v>48.6</v>
      </c>
      <c r="F68" s="14"/>
    </row>
    <row r="69" spans="2:6" ht="15" outlineLevel="2">
      <c r="B69" s="83" t="s">
        <v>2</v>
      </c>
      <c r="C69" s="83" t="s">
        <v>1578</v>
      </c>
      <c r="D69" s="83" t="s">
        <v>866</v>
      </c>
      <c r="E69" s="106">
        <v>388.48</v>
      </c>
      <c r="F69" s="14"/>
    </row>
    <row r="70" spans="2:6" ht="15" outlineLevel="2">
      <c r="B70" s="83" t="s">
        <v>2</v>
      </c>
      <c r="C70" s="83" t="s">
        <v>1579</v>
      </c>
      <c r="D70" s="83" t="s">
        <v>1495</v>
      </c>
      <c r="E70" s="106">
        <v>212.16</v>
      </c>
      <c r="F70" s="14"/>
    </row>
    <row r="71" spans="2:6" ht="15" outlineLevel="2">
      <c r="B71" s="83" t="s">
        <v>139</v>
      </c>
      <c r="C71" s="83" t="s">
        <v>1580</v>
      </c>
      <c r="D71" s="83" t="s">
        <v>2233</v>
      </c>
      <c r="E71" s="106">
        <v>578.08</v>
      </c>
      <c r="F71" s="14"/>
    </row>
    <row r="72" spans="2:6" ht="15" outlineLevel="2">
      <c r="B72" s="83" t="s">
        <v>1313</v>
      </c>
      <c r="C72" s="83" t="s">
        <v>1583</v>
      </c>
      <c r="D72" s="83" t="s">
        <v>110</v>
      </c>
      <c r="E72" s="106">
        <v>949.51</v>
      </c>
      <c r="F72" s="14"/>
    </row>
    <row r="73" spans="2:6" ht="15" outlineLevel="2">
      <c r="B73" s="83" t="s">
        <v>1313</v>
      </c>
      <c r="C73" s="83" t="s">
        <v>1583</v>
      </c>
      <c r="D73" s="83" t="s">
        <v>110</v>
      </c>
      <c r="E73" s="106">
        <v>1205.65</v>
      </c>
      <c r="F73" s="14"/>
    </row>
    <row r="74" spans="2:6" ht="15" outlineLevel="2">
      <c r="B74" s="83" t="s">
        <v>2379</v>
      </c>
      <c r="C74" s="83" t="s">
        <v>1586</v>
      </c>
      <c r="D74" s="83" t="s">
        <v>110</v>
      </c>
      <c r="E74" s="106">
        <v>746.95</v>
      </c>
      <c r="F74" s="14"/>
    </row>
    <row r="75" spans="2:6" ht="15" outlineLevel="2">
      <c r="B75" s="83" t="s">
        <v>801</v>
      </c>
      <c r="C75" s="83" t="s">
        <v>1587</v>
      </c>
      <c r="D75" s="83" t="s">
        <v>1500</v>
      </c>
      <c r="E75" s="106">
        <v>171.16</v>
      </c>
      <c r="F75" s="14"/>
    </row>
    <row r="76" spans="2:6" ht="15" outlineLevel="2">
      <c r="B76" s="83" t="s">
        <v>1958</v>
      </c>
      <c r="C76" s="83" t="s">
        <v>1588</v>
      </c>
      <c r="D76" s="83" t="s">
        <v>1960</v>
      </c>
      <c r="E76" s="106">
        <v>459.31</v>
      </c>
      <c r="F76" s="14"/>
    </row>
    <row r="77" spans="1:5" ht="15" customHeight="1" outlineLevel="1">
      <c r="A77" s="255" t="s">
        <v>1595</v>
      </c>
      <c r="B77" s="256"/>
      <c r="C77" s="256"/>
      <c r="D77" s="257"/>
      <c r="E77" s="105">
        <f>SUM(E78:E82)</f>
        <v>2652.32</v>
      </c>
    </row>
    <row r="78" spans="2:6" ht="15" outlineLevel="2">
      <c r="B78" s="83" t="s">
        <v>104</v>
      </c>
      <c r="C78" s="83" t="s">
        <v>1583</v>
      </c>
      <c r="D78" s="83" t="s">
        <v>418</v>
      </c>
      <c r="E78" s="106">
        <v>87.27</v>
      </c>
      <c r="F78" s="14"/>
    </row>
    <row r="79" spans="2:6" ht="15" outlineLevel="2">
      <c r="B79" s="83" t="s">
        <v>43</v>
      </c>
      <c r="C79" s="83" t="s">
        <v>1583</v>
      </c>
      <c r="D79" s="83" t="s">
        <v>947</v>
      </c>
      <c r="E79" s="106">
        <v>539.36</v>
      </c>
      <c r="F79" s="14"/>
    </row>
    <row r="80" spans="2:6" ht="15" outlineLevel="2">
      <c r="B80" s="83" t="s">
        <v>488</v>
      </c>
      <c r="C80" s="83" t="s">
        <v>1586</v>
      </c>
      <c r="D80" s="83" t="s">
        <v>487</v>
      </c>
      <c r="E80" s="106">
        <v>1241.81</v>
      </c>
      <c r="F80" s="14"/>
    </row>
    <row r="81" spans="2:6" ht="15" outlineLevel="2">
      <c r="B81" s="83" t="s">
        <v>2205</v>
      </c>
      <c r="C81" s="83" t="s">
        <v>1587</v>
      </c>
      <c r="D81" s="83" t="s">
        <v>1709</v>
      </c>
      <c r="E81" s="106">
        <v>640</v>
      </c>
      <c r="F81" s="14"/>
    </row>
    <row r="82" spans="2:6" ht="15" outlineLevel="2">
      <c r="B82" s="83" t="s">
        <v>1181</v>
      </c>
      <c r="C82" s="83" t="s">
        <v>1587</v>
      </c>
      <c r="D82" s="83" t="s">
        <v>1183</v>
      </c>
      <c r="E82" s="106">
        <v>143.88</v>
      </c>
      <c r="F82" s="14"/>
    </row>
    <row r="83" spans="1:5" ht="15" customHeight="1" outlineLevel="1">
      <c r="A83" s="255" t="s">
        <v>1718</v>
      </c>
      <c r="B83" s="256"/>
      <c r="C83" s="256"/>
      <c r="D83" s="257"/>
      <c r="E83" s="105">
        <f>SUM(E84:E89)</f>
        <v>5607.139999999999</v>
      </c>
    </row>
    <row r="84" spans="2:6" ht="15" outlineLevel="2">
      <c r="B84" s="82" t="s">
        <v>83</v>
      </c>
      <c r="C84" s="82" t="s">
        <v>1577</v>
      </c>
      <c r="D84" s="82" t="s">
        <v>1918</v>
      </c>
      <c r="E84" s="106">
        <v>2306.3</v>
      </c>
      <c r="F84" s="14"/>
    </row>
    <row r="85" spans="2:6" ht="30" outlineLevel="2">
      <c r="B85" s="83" t="s">
        <v>190</v>
      </c>
      <c r="C85" s="83" t="s">
        <v>1577</v>
      </c>
      <c r="D85" s="83" t="s">
        <v>193</v>
      </c>
      <c r="E85" s="106">
        <v>33.46</v>
      </c>
      <c r="F85" s="14"/>
    </row>
    <row r="86" spans="2:6" ht="15" outlineLevel="2">
      <c r="B86" s="83" t="s">
        <v>2</v>
      </c>
      <c r="C86" s="83" t="s">
        <v>57</v>
      </c>
      <c r="D86" s="83" t="s">
        <v>717</v>
      </c>
      <c r="E86" s="106">
        <v>33.8</v>
      </c>
      <c r="F86" s="14"/>
    </row>
    <row r="87" spans="2:6" ht="15" outlineLevel="2">
      <c r="B87" s="83" t="s">
        <v>2</v>
      </c>
      <c r="C87" s="83" t="s">
        <v>1581</v>
      </c>
      <c r="D87" s="83" t="s">
        <v>2390</v>
      </c>
      <c r="E87" s="106">
        <v>1729.77</v>
      </c>
      <c r="F87" s="14"/>
    </row>
    <row r="88" spans="2:6" ht="15" outlineLevel="2">
      <c r="B88" s="83" t="s">
        <v>2</v>
      </c>
      <c r="C88" s="83" t="s">
        <v>57</v>
      </c>
      <c r="D88" s="83" t="s">
        <v>936</v>
      </c>
      <c r="E88" s="106">
        <v>134.4</v>
      </c>
      <c r="F88" s="14"/>
    </row>
    <row r="89" spans="2:6" ht="15" outlineLevel="2">
      <c r="B89" s="84" t="s">
        <v>31</v>
      </c>
      <c r="C89" s="84" t="s">
        <v>1584</v>
      </c>
      <c r="D89" s="84" t="s">
        <v>634</v>
      </c>
      <c r="E89" s="106">
        <v>1369.41</v>
      </c>
      <c r="F89" s="14"/>
    </row>
    <row r="90" spans="1:6" ht="14.25" customHeight="1" outlineLevel="2">
      <c r="A90" s="255" t="s">
        <v>0</v>
      </c>
      <c r="B90" s="256"/>
      <c r="C90" s="256"/>
      <c r="D90" s="257"/>
      <c r="E90" s="105">
        <f>0.1*3413.6*12</f>
        <v>4096.32</v>
      </c>
      <c r="F90" s="14"/>
    </row>
    <row r="91" spans="1:6" ht="15.75" customHeight="1" outlineLevel="2">
      <c r="A91" s="255" t="s">
        <v>1369</v>
      </c>
      <c r="B91" s="256"/>
      <c r="C91" s="256"/>
      <c r="D91" s="257"/>
      <c r="E91" s="105">
        <v>3166.66</v>
      </c>
      <c r="F91" s="14"/>
    </row>
    <row r="92" spans="2:6" ht="15">
      <c r="B92" s="270" t="s">
        <v>59</v>
      </c>
      <c r="C92" s="270"/>
      <c r="D92" s="270"/>
      <c r="E92" s="43">
        <f>1.57*3413.6*12</f>
        <v>64312.224</v>
      </c>
      <c r="F92" s="14"/>
    </row>
    <row r="93" spans="2:6" ht="15">
      <c r="B93" s="270" t="s">
        <v>256</v>
      </c>
      <c r="C93" s="270"/>
      <c r="D93" s="270"/>
      <c r="E93" s="43">
        <f>10.3*(E95+E96)/100</f>
        <v>86813.1792</v>
      </c>
      <c r="F93" s="14"/>
    </row>
    <row r="94" spans="1:5" ht="15">
      <c r="A94" s="42">
        <v>1</v>
      </c>
      <c r="B94" s="272" t="s">
        <v>659</v>
      </c>
      <c r="C94" s="272"/>
      <c r="D94" s="272"/>
      <c r="E94" s="44">
        <f>E93+E92+E12+E3</f>
        <v>1866716.1152</v>
      </c>
    </row>
    <row r="95" spans="1:6" ht="15">
      <c r="A95" s="42">
        <v>2</v>
      </c>
      <c r="B95" s="270" t="s">
        <v>258</v>
      </c>
      <c r="C95" s="270"/>
      <c r="D95" s="270"/>
      <c r="E95" s="43">
        <v>735424.8</v>
      </c>
      <c r="F95" s="14"/>
    </row>
    <row r="96" spans="1:5" ht="15">
      <c r="A96" s="42">
        <v>3</v>
      </c>
      <c r="B96" s="270" t="s">
        <v>259</v>
      </c>
      <c r="C96" s="270"/>
      <c r="D96" s="270"/>
      <c r="E96" s="43">
        <v>107421.6</v>
      </c>
    </row>
    <row r="97" spans="1:5" ht="15">
      <c r="A97" s="42">
        <v>4</v>
      </c>
      <c r="B97" s="270" t="s">
        <v>660</v>
      </c>
      <c r="C97" s="270"/>
      <c r="D97" s="270"/>
      <c r="E97" s="43">
        <v>2266364.36</v>
      </c>
    </row>
    <row r="98" spans="1:5" ht="15">
      <c r="A98" s="42">
        <v>5</v>
      </c>
      <c r="B98" s="270" t="s">
        <v>2340</v>
      </c>
      <c r="C98" s="270"/>
      <c r="D98" s="270"/>
      <c r="E98" s="43">
        <v>1757340.05</v>
      </c>
    </row>
    <row r="99" spans="1:5" ht="15">
      <c r="A99" s="42">
        <v>6</v>
      </c>
      <c r="B99" s="272" t="s">
        <v>2341</v>
      </c>
      <c r="C99" s="272"/>
      <c r="D99" s="272"/>
      <c r="E99" s="44">
        <f>E94+'[5]Амурская 16'!$E$104</f>
        <v>3006726.3351999996</v>
      </c>
    </row>
    <row r="100" spans="1:5" ht="15">
      <c r="A100" s="42">
        <v>7</v>
      </c>
      <c r="B100" s="270" t="s">
        <v>732</v>
      </c>
      <c r="C100" s="270"/>
      <c r="D100" s="270"/>
      <c r="E100" s="43">
        <v>330306.9</v>
      </c>
    </row>
    <row r="101" spans="1:5" ht="15">
      <c r="A101" s="42">
        <v>8</v>
      </c>
      <c r="B101" s="270" t="s">
        <v>733</v>
      </c>
      <c r="C101" s="270"/>
      <c r="D101" s="270"/>
      <c r="E101" s="43">
        <v>256128.3</v>
      </c>
    </row>
    <row r="102" spans="1:5" ht="15">
      <c r="A102" s="42">
        <v>9</v>
      </c>
      <c r="B102" s="272" t="s">
        <v>734</v>
      </c>
      <c r="C102" s="272"/>
      <c r="D102" s="272"/>
      <c r="E102" s="44">
        <f>E105+'[5]Амурская 16'!$E$107</f>
        <v>0</v>
      </c>
    </row>
    <row r="103" spans="1:5" ht="15">
      <c r="A103" s="42">
        <v>10</v>
      </c>
      <c r="B103" s="270" t="s">
        <v>260</v>
      </c>
      <c r="C103" s="270"/>
      <c r="D103" s="270"/>
      <c r="E103" s="43">
        <v>587283.82</v>
      </c>
    </row>
    <row r="104" spans="1:5" ht="15">
      <c r="A104" s="42">
        <v>11</v>
      </c>
      <c r="B104" s="270" t="s">
        <v>735</v>
      </c>
      <c r="C104" s="270"/>
      <c r="D104" s="270"/>
      <c r="E104" s="43">
        <v>85783.03</v>
      </c>
    </row>
    <row r="105" spans="1:5" ht="15">
      <c r="A105" s="42">
        <v>12</v>
      </c>
      <c r="B105" s="272" t="s">
        <v>736</v>
      </c>
      <c r="C105" s="272"/>
      <c r="D105" s="272"/>
      <c r="E105" s="44">
        <v>0</v>
      </c>
    </row>
    <row r="106" spans="1:5" ht="26.25" customHeight="1">
      <c r="A106" s="42">
        <v>13</v>
      </c>
      <c r="B106" s="271" t="s">
        <v>2212</v>
      </c>
      <c r="C106" s="271"/>
      <c r="D106" s="271"/>
      <c r="E106" s="45">
        <f>E97-E99</f>
        <v>-740361.9751999998</v>
      </c>
    </row>
    <row r="107" spans="1:5" ht="26.25" customHeight="1">
      <c r="A107" s="42">
        <v>14</v>
      </c>
      <c r="B107" s="271" t="s">
        <v>738</v>
      </c>
      <c r="C107" s="271"/>
      <c r="D107" s="271"/>
      <c r="E107" s="45">
        <f>E100-E102</f>
        <v>330306.9</v>
      </c>
    </row>
    <row r="108" spans="1:5" ht="30.75" customHeight="1">
      <c r="A108" s="42">
        <v>15</v>
      </c>
      <c r="B108" s="271" t="s">
        <v>2273</v>
      </c>
      <c r="C108" s="271"/>
      <c r="D108" s="271"/>
      <c r="E108" s="45">
        <f>E98-E99</f>
        <v>-1249386.2851999996</v>
      </c>
    </row>
    <row r="109" ht="15">
      <c r="E109" s="90"/>
    </row>
  </sheetData>
  <sheetProtection/>
  <mergeCells count="36">
    <mergeCell ref="A45:D45"/>
    <mergeCell ref="A1:E1"/>
    <mergeCell ref="A4:D4"/>
    <mergeCell ref="A6:D6"/>
    <mergeCell ref="A8:D8"/>
    <mergeCell ref="A33:D33"/>
    <mergeCell ref="A91:D91"/>
    <mergeCell ref="A64:D64"/>
    <mergeCell ref="A77:D77"/>
    <mergeCell ref="A83:D83"/>
    <mergeCell ref="A90:D90"/>
    <mergeCell ref="B108:D108"/>
    <mergeCell ref="B100:D100"/>
    <mergeCell ref="B101:D101"/>
    <mergeCell ref="B102:D102"/>
    <mergeCell ref="B103:D103"/>
    <mergeCell ref="B106:D106"/>
    <mergeCell ref="B105:D105"/>
    <mergeCell ref="B97:D97"/>
    <mergeCell ref="B94:D94"/>
    <mergeCell ref="B107:D107"/>
    <mergeCell ref="B95:D95"/>
    <mergeCell ref="B99:D99"/>
    <mergeCell ref="B104:D104"/>
    <mergeCell ref="B96:D96"/>
    <mergeCell ref="B98:D98"/>
    <mergeCell ref="B93:D93"/>
    <mergeCell ref="B3:C3"/>
    <mergeCell ref="B92:D92"/>
    <mergeCell ref="B11:D11"/>
    <mergeCell ref="A10:D10"/>
    <mergeCell ref="A13:D13"/>
    <mergeCell ref="A20:D20"/>
    <mergeCell ref="A27:D27"/>
    <mergeCell ref="A50:D50"/>
    <mergeCell ref="A63:D63"/>
  </mergeCells>
  <printOptions/>
  <pageMargins left="0.31496062992125984" right="0.15748031496062992" top="0.31496062992125984" bottom="0.2362204724409449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65"/>
  <sheetViews>
    <sheetView zoomScalePageLayoutView="0" workbookViewId="0" topLeftCell="A85">
      <selection activeCell="B105" sqref="B105:D105"/>
    </sheetView>
  </sheetViews>
  <sheetFormatPr defaultColWidth="13.421875" defaultRowHeight="12.75" outlineLevelRow="2"/>
  <cols>
    <col min="1" max="1" width="4.421875" style="65" customWidth="1"/>
    <col min="2" max="2" width="12.7109375" style="1" customWidth="1"/>
    <col min="3" max="3" width="10.28125" style="1" customWidth="1"/>
    <col min="4" max="4" width="76.00390625" style="1" customWidth="1"/>
    <col min="5" max="5" width="16.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>
      <c r="A1" s="306" t="s">
        <v>121</v>
      </c>
      <c r="B1" s="307"/>
      <c r="C1" s="307"/>
      <c r="D1" s="307"/>
      <c r="E1" s="307"/>
    </row>
    <row r="2" spans="1:6" ht="30">
      <c r="A2" s="127"/>
      <c r="B2" s="128" t="s">
        <v>1570</v>
      </c>
      <c r="C2" s="102" t="s">
        <v>1571</v>
      </c>
      <c r="D2" s="103" t="s">
        <v>1572</v>
      </c>
      <c r="E2" s="104" t="s">
        <v>1573</v>
      </c>
      <c r="F2" s="6" t="s">
        <v>1574</v>
      </c>
    </row>
    <row r="3" spans="1:5" ht="12.75" customHeight="1">
      <c r="A3" s="129"/>
      <c r="B3" s="302"/>
      <c r="C3" s="302"/>
      <c r="D3" s="142" t="s">
        <v>1575</v>
      </c>
      <c r="E3" s="130">
        <f>E4+E6+E8</f>
        <v>42048.03</v>
      </c>
    </row>
    <row r="4" spans="1:5" ht="13.5" customHeight="1" outlineLevel="1">
      <c r="A4" s="255" t="s">
        <v>1590</v>
      </c>
      <c r="B4" s="256"/>
      <c r="C4" s="256"/>
      <c r="D4" s="257"/>
      <c r="E4" s="105">
        <f>SUM(E5:E5)</f>
        <v>31592.03</v>
      </c>
    </row>
    <row r="5" spans="1:6" ht="12" customHeight="1" outlineLevel="2">
      <c r="A5" s="131"/>
      <c r="B5" s="84" t="s">
        <v>968</v>
      </c>
      <c r="C5" s="84" t="s">
        <v>1588</v>
      </c>
      <c r="D5" s="84" t="s">
        <v>969</v>
      </c>
      <c r="E5" s="106">
        <v>31592.03</v>
      </c>
      <c r="F5" s="14"/>
    </row>
    <row r="6" spans="1:5" ht="15" customHeight="1" outlineLevel="1">
      <c r="A6" s="255" t="s">
        <v>1594</v>
      </c>
      <c r="B6" s="256"/>
      <c r="C6" s="256"/>
      <c r="D6" s="257"/>
      <c r="E6" s="105">
        <f>SUM(E7:E7)</f>
        <v>9256</v>
      </c>
    </row>
    <row r="7" spans="1:6" ht="24" customHeight="1" outlineLevel="2">
      <c r="A7" s="131"/>
      <c r="B7" s="84" t="s">
        <v>1136</v>
      </c>
      <c r="C7" s="84" t="s">
        <v>1587</v>
      </c>
      <c r="D7" s="84" t="s">
        <v>1601</v>
      </c>
      <c r="E7" s="106">
        <v>9256</v>
      </c>
      <c r="F7" s="14"/>
    </row>
    <row r="8" spans="1:5" ht="13.5" customHeight="1" outlineLevel="1">
      <c r="A8" s="255" t="s">
        <v>1595</v>
      </c>
      <c r="B8" s="256"/>
      <c r="C8" s="256"/>
      <c r="D8" s="257"/>
      <c r="E8" s="105">
        <f>SUM(E9:E9)</f>
        <v>1200</v>
      </c>
    </row>
    <row r="9" spans="1:6" ht="15" outlineLevel="2">
      <c r="A9" s="131"/>
      <c r="B9" s="303" t="s">
        <v>282</v>
      </c>
      <c r="C9" s="304"/>
      <c r="D9" s="305"/>
      <c r="E9" s="106">
        <v>1200</v>
      </c>
      <c r="F9" s="14"/>
    </row>
    <row r="10" spans="1:5" ht="13.5" customHeight="1">
      <c r="A10" s="264" t="s">
        <v>1600</v>
      </c>
      <c r="B10" s="265"/>
      <c r="C10" s="265"/>
      <c r="D10" s="266"/>
      <c r="E10" s="130">
        <f>E11+E20+E26+E32+E44+E47+E54+E67+E68+E78+E80+E90+E98+E99+E100</f>
        <v>393845.6499999999</v>
      </c>
    </row>
    <row r="11" spans="1:5" ht="14.25" customHeight="1" outlineLevel="1">
      <c r="A11" s="255" t="s">
        <v>1576</v>
      </c>
      <c r="B11" s="256"/>
      <c r="C11" s="256"/>
      <c r="D11" s="257"/>
      <c r="E11" s="105">
        <f>SUM(E12:E19)</f>
        <v>35947.07</v>
      </c>
    </row>
    <row r="12" spans="1:6" ht="15" outlineLevel="2">
      <c r="A12" s="66"/>
      <c r="B12" s="83" t="s">
        <v>2182</v>
      </c>
      <c r="C12" s="83" t="s">
        <v>1580</v>
      </c>
      <c r="D12" s="83" t="s">
        <v>1023</v>
      </c>
      <c r="E12" s="106">
        <v>5092.2</v>
      </c>
      <c r="F12" s="14"/>
    </row>
    <row r="13" spans="1:6" ht="15" outlineLevel="2">
      <c r="A13" s="66"/>
      <c r="B13" s="83" t="s">
        <v>35</v>
      </c>
      <c r="C13" s="83" t="s">
        <v>1581</v>
      </c>
      <c r="D13" s="83" t="s">
        <v>2396</v>
      </c>
      <c r="E13" s="106">
        <v>22562</v>
      </c>
      <c r="F13" s="14"/>
    </row>
    <row r="14" spans="1:6" ht="15" outlineLevel="2">
      <c r="A14" s="66"/>
      <c r="B14" s="83" t="s">
        <v>1705</v>
      </c>
      <c r="C14" s="83" t="s">
        <v>57</v>
      </c>
      <c r="D14" s="83" t="s">
        <v>286</v>
      </c>
      <c r="E14" s="106">
        <v>3258.48</v>
      </c>
      <c r="F14" s="14"/>
    </row>
    <row r="15" spans="1:6" ht="15" outlineLevel="2">
      <c r="A15" s="66"/>
      <c r="B15" s="83" t="s">
        <v>1708</v>
      </c>
      <c r="C15" s="83" t="s">
        <v>1581</v>
      </c>
      <c r="D15" s="83" t="s">
        <v>2093</v>
      </c>
      <c r="E15" s="106">
        <v>2223.03</v>
      </c>
      <c r="F15" s="14"/>
    </row>
    <row r="16" spans="1:6" ht="15" outlineLevel="2">
      <c r="A16" s="66"/>
      <c r="B16" s="83" t="s">
        <v>875</v>
      </c>
      <c r="C16" s="83" t="s">
        <v>1582</v>
      </c>
      <c r="D16" s="83" t="s">
        <v>1857</v>
      </c>
      <c r="E16" s="106">
        <v>1164.25</v>
      </c>
      <c r="F16" s="14"/>
    </row>
    <row r="17" spans="1:6" ht="30" outlineLevel="2">
      <c r="A17" s="66"/>
      <c r="B17" s="83" t="s">
        <v>508</v>
      </c>
      <c r="C17" s="83" t="s">
        <v>1582</v>
      </c>
      <c r="D17" s="83" t="s">
        <v>509</v>
      </c>
      <c r="E17" s="106">
        <v>490.03</v>
      </c>
      <c r="F17" s="14"/>
    </row>
    <row r="18" spans="1:6" ht="15" outlineLevel="2">
      <c r="A18" s="66"/>
      <c r="B18" s="83"/>
      <c r="C18" s="83" t="s">
        <v>1583</v>
      </c>
      <c r="D18" s="83" t="s">
        <v>509</v>
      </c>
      <c r="E18" s="106">
        <v>1076.93</v>
      </c>
      <c r="F18" s="14"/>
    </row>
    <row r="19" spans="1:6" ht="15" outlineLevel="2">
      <c r="A19" s="66"/>
      <c r="B19" s="83" t="s">
        <v>2</v>
      </c>
      <c r="C19" s="83" t="s">
        <v>1583</v>
      </c>
      <c r="D19" s="83" t="s">
        <v>855</v>
      </c>
      <c r="E19" s="106">
        <v>80.15</v>
      </c>
      <c r="F19" s="14"/>
    </row>
    <row r="20" spans="1:5" ht="14.25" customHeight="1" outlineLevel="1">
      <c r="A20" s="255" t="s">
        <v>1589</v>
      </c>
      <c r="B20" s="256"/>
      <c r="C20" s="256"/>
      <c r="D20" s="257"/>
      <c r="E20" s="105">
        <f>SUM(E21:E25)</f>
        <v>9041.11</v>
      </c>
    </row>
    <row r="21" spans="1:6" ht="15" outlineLevel="2">
      <c r="A21" s="66"/>
      <c r="B21" s="83" t="s">
        <v>2181</v>
      </c>
      <c r="C21" s="83" t="s">
        <v>1579</v>
      </c>
      <c r="D21" s="83" t="s">
        <v>2331</v>
      </c>
      <c r="E21" s="106">
        <v>634.17</v>
      </c>
      <c r="F21" s="14"/>
    </row>
    <row r="22" spans="1:6" ht="15" outlineLevel="2">
      <c r="A22" s="66"/>
      <c r="B22" s="83" t="s">
        <v>42</v>
      </c>
      <c r="C22" s="83" t="s">
        <v>1583</v>
      </c>
      <c r="D22" s="83" t="s">
        <v>1852</v>
      </c>
      <c r="E22" s="106">
        <v>5370.63</v>
      </c>
      <c r="F22" s="14"/>
    </row>
    <row r="23" spans="1:6" ht="15" outlineLevel="2">
      <c r="A23" s="66"/>
      <c r="B23" s="83" t="s">
        <v>56</v>
      </c>
      <c r="C23" s="83" t="s">
        <v>1584</v>
      </c>
      <c r="D23" s="83" t="s">
        <v>2409</v>
      </c>
      <c r="E23" s="106"/>
      <c r="F23" s="14"/>
    </row>
    <row r="24" spans="1:6" ht="15" outlineLevel="2">
      <c r="A24" s="66"/>
      <c r="B24" s="83" t="s">
        <v>56</v>
      </c>
      <c r="C24" s="83" t="s">
        <v>1584</v>
      </c>
      <c r="D24" s="83" t="s">
        <v>2461</v>
      </c>
      <c r="E24" s="106">
        <v>132.31</v>
      </c>
      <c r="F24" s="14"/>
    </row>
    <row r="25" spans="1:6" ht="30" outlineLevel="2">
      <c r="A25" s="66"/>
      <c r="B25" s="83" t="s">
        <v>1524</v>
      </c>
      <c r="C25" s="83" t="s">
        <v>1585</v>
      </c>
      <c r="D25" s="83" t="s">
        <v>1525</v>
      </c>
      <c r="E25" s="106">
        <v>2904</v>
      </c>
      <c r="F25" s="14"/>
    </row>
    <row r="26" spans="1:5" ht="14.25" customHeight="1" outlineLevel="1">
      <c r="A26" s="255" t="s">
        <v>1590</v>
      </c>
      <c r="B26" s="256"/>
      <c r="C26" s="256"/>
      <c r="D26" s="257"/>
      <c r="E26" s="105">
        <f>SUM(E27:E31)</f>
        <v>18198.1</v>
      </c>
    </row>
    <row r="27" spans="1:6" ht="15" outlineLevel="2">
      <c r="A27" s="66"/>
      <c r="B27" s="88" t="s">
        <v>2</v>
      </c>
      <c r="C27" s="82" t="s">
        <v>1577</v>
      </c>
      <c r="D27" s="82" t="s">
        <v>1507</v>
      </c>
      <c r="E27" s="106">
        <v>56.7</v>
      </c>
      <c r="F27" s="14"/>
    </row>
    <row r="28" spans="1:6" ht="45" outlineLevel="2">
      <c r="A28" s="66"/>
      <c r="B28" s="87" t="s">
        <v>928</v>
      </c>
      <c r="C28" s="83" t="s">
        <v>1584</v>
      </c>
      <c r="D28" s="83" t="s">
        <v>760</v>
      </c>
      <c r="E28" s="106">
        <v>5627.8</v>
      </c>
      <c r="F28" s="14"/>
    </row>
    <row r="29" spans="1:6" ht="12.75" customHeight="1" outlineLevel="2">
      <c r="A29" s="66"/>
      <c r="B29" s="87" t="s">
        <v>340</v>
      </c>
      <c r="C29" s="83" t="s">
        <v>1586</v>
      </c>
      <c r="D29" s="83" t="s">
        <v>341</v>
      </c>
      <c r="E29" s="106">
        <v>1317.9</v>
      </c>
      <c r="F29" s="14"/>
    </row>
    <row r="30" spans="1:6" ht="22.5" customHeight="1" outlineLevel="2">
      <c r="A30" s="66"/>
      <c r="B30" s="87" t="s">
        <v>192</v>
      </c>
      <c r="C30" s="83" t="s">
        <v>1586</v>
      </c>
      <c r="D30" s="83" t="s">
        <v>783</v>
      </c>
      <c r="E30" s="106">
        <v>1470.65</v>
      </c>
      <c r="F30" s="14"/>
    </row>
    <row r="31" spans="1:6" ht="15.75" customHeight="1" outlineLevel="2">
      <c r="A31" s="66"/>
      <c r="B31" s="87" t="s">
        <v>1294</v>
      </c>
      <c r="C31" s="83" t="s">
        <v>1588</v>
      </c>
      <c r="D31" s="83" t="s">
        <v>1520</v>
      </c>
      <c r="E31" s="106">
        <v>9725.05</v>
      </c>
      <c r="F31" s="14"/>
    </row>
    <row r="32" spans="1:5" ht="16.5" customHeight="1" outlineLevel="1">
      <c r="A32" s="255" t="s">
        <v>1591</v>
      </c>
      <c r="B32" s="256"/>
      <c r="C32" s="256"/>
      <c r="D32" s="257"/>
      <c r="E32" s="105">
        <f>SUM(E33:E43)</f>
        <v>22785.809999999998</v>
      </c>
    </row>
    <row r="33" spans="1:6" ht="15" outlineLevel="2">
      <c r="A33" s="66"/>
      <c r="B33" s="87" t="s">
        <v>661</v>
      </c>
      <c r="C33" s="83" t="s">
        <v>1578</v>
      </c>
      <c r="D33" s="83" t="s">
        <v>377</v>
      </c>
      <c r="E33" s="106">
        <v>1550.97</v>
      </c>
      <c r="F33" s="14"/>
    </row>
    <row r="34" spans="1:6" ht="15" outlineLevel="2">
      <c r="A34" s="66"/>
      <c r="B34" s="87" t="s">
        <v>2180</v>
      </c>
      <c r="C34" s="83" t="s">
        <v>1578</v>
      </c>
      <c r="D34" s="83" t="s">
        <v>2210</v>
      </c>
      <c r="E34" s="106">
        <v>2305.2</v>
      </c>
      <c r="F34" s="14"/>
    </row>
    <row r="35" spans="1:6" ht="15" outlineLevel="2">
      <c r="A35" s="66"/>
      <c r="B35" s="87" t="s">
        <v>1064</v>
      </c>
      <c r="C35" s="83" t="s">
        <v>1579</v>
      </c>
      <c r="D35" s="83" t="s">
        <v>2237</v>
      </c>
      <c r="E35" s="106">
        <v>947.9</v>
      </c>
      <c r="F35" s="14"/>
    </row>
    <row r="36" spans="1:6" ht="15" outlineLevel="2">
      <c r="A36" s="66"/>
      <c r="B36" s="87" t="s">
        <v>484</v>
      </c>
      <c r="C36" s="83" t="s">
        <v>1580</v>
      </c>
      <c r="D36" s="83" t="s">
        <v>827</v>
      </c>
      <c r="E36" s="106">
        <v>1315.2</v>
      </c>
      <c r="F36" s="14"/>
    </row>
    <row r="37" spans="1:6" ht="15" outlineLevel="2">
      <c r="A37" s="66"/>
      <c r="B37" s="87" t="s">
        <v>93</v>
      </c>
      <c r="C37" s="83" t="s">
        <v>1580</v>
      </c>
      <c r="D37" s="83" t="s">
        <v>827</v>
      </c>
      <c r="E37" s="106">
        <v>1332.23</v>
      </c>
      <c r="F37" s="14"/>
    </row>
    <row r="38" spans="1:6" ht="15" outlineLevel="2">
      <c r="A38" s="66"/>
      <c r="B38" s="87" t="s">
        <v>36</v>
      </c>
      <c r="C38" s="83" t="s">
        <v>1581</v>
      </c>
      <c r="D38" s="83" t="s">
        <v>224</v>
      </c>
      <c r="E38" s="106">
        <v>1690.62</v>
      </c>
      <c r="F38" s="14"/>
    </row>
    <row r="39" spans="1:6" ht="15" outlineLevel="2">
      <c r="A39" s="66"/>
      <c r="B39" s="87" t="s">
        <v>39</v>
      </c>
      <c r="C39" s="83" t="s">
        <v>1582</v>
      </c>
      <c r="D39" s="83" t="s">
        <v>606</v>
      </c>
      <c r="E39" s="106">
        <v>1360.03</v>
      </c>
      <c r="F39" s="14"/>
    </row>
    <row r="40" spans="1:6" ht="15" outlineLevel="2">
      <c r="A40" s="66"/>
      <c r="B40" s="87" t="s">
        <v>52</v>
      </c>
      <c r="C40" s="83" t="s">
        <v>1583</v>
      </c>
      <c r="D40" s="83" t="s">
        <v>319</v>
      </c>
      <c r="E40" s="106">
        <v>914.1</v>
      </c>
      <c r="F40" s="14"/>
    </row>
    <row r="41" spans="1:6" ht="15" outlineLevel="2">
      <c r="A41" s="66"/>
      <c r="B41" s="87" t="s">
        <v>41</v>
      </c>
      <c r="C41" s="83" t="s">
        <v>1583</v>
      </c>
      <c r="D41" s="83" t="s">
        <v>1089</v>
      </c>
      <c r="E41" s="106">
        <v>3645.55</v>
      </c>
      <c r="F41" s="14"/>
    </row>
    <row r="42" spans="1:6" ht="15" outlineLevel="2">
      <c r="A42" s="66"/>
      <c r="B42" s="87" t="s">
        <v>329</v>
      </c>
      <c r="C42" s="83" t="s">
        <v>1586</v>
      </c>
      <c r="D42" s="83" t="s">
        <v>330</v>
      </c>
      <c r="E42" s="106">
        <v>4366.32</v>
      </c>
      <c r="F42" s="14"/>
    </row>
    <row r="43" spans="1:6" ht="15" outlineLevel="2">
      <c r="A43" s="66"/>
      <c r="B43" s="87" t="s">
        <v>2205</v>
      </c>
      <c r="C43" s="83" t="s">
        <v>1587</v>
      </c>
      <c r="D43" s="83" t="s">
        <v>475</v>
      </c>
      <c r="E43" s="106">
        <v>3357.69</v>
      </c>
      <c r="F43" s="14"/>
    </row>
    <row r="44" spans="1:5" ht="14.25" customHeight="1" outlineLevel="1">
      <c r="A44" s="255" t="s">
        <v>1594</v>
      </c>
      <c r="B44" s="256"/>
      <c r="C44" s="256"/>
      <c r="D44" s="257"/>
      <c r="E44" s="105">
        <f>SUM(E45:E46)</f>
        <v>8214.64</v>
      </c>
    </row>
    <row r="45" spans="1:6" ht="15" outlineLevel="2">
      <c r="A45" s="66"/>
      <c r="B45" s="87" t="s">
        <v>1328</v>
      </c>
      <c r="C45" s="83" t="s">
        <v>1586</v>
      </c>
      <c r="D45" s="83" t="s">
        <v>1329</v>
      </c>
      <c r="E45" s="106">
        <v>2081.11</v>
      </c>
      <c r="F45" s="14"/>
    </row>
    <row r="46" spans="1:6" ht="15" outlineLevel="2">
      <c r="A46" s="66"/>
      <c r="B46" s="87" t="s">
        <v>797</v>
      </c>
      <c r="C46" s="83" t="s">
        <v>1587</v>
      </c>
      <c r="D46" s="83" t="s">
        <v>798</v>
      </c>
      <c r="E46" s="106">
        <v>6133.53</v>
      </c>
      <c r="F46" s="14"/>
    </row>
    <row r="47" spans="1:5" ht="12.75" customHeight="1" outlineLevel="1">
      <c r="A47" s="255" t="s">
        <v>1599</v>
      </c>
      <c r="B47" s="256"/>
      <c r="C47" s="256"/>
      <c r="D47" s="257"/>
      <c r="E47" s="105">
        <f>SUM(E48:E53)</f>
        <v>18706.91</v>
      </c>
    </row>
    <row r="48" spans="1:6" ht="15" outlineLevel="2">
      <c r="A48" s="66"/>
      <c r="B48" s="82" t="s">
        <v>1115</v>
      </c>
      <c r="C48" s="82" t="s">
        <v>1577</v>
      </c>
      <c r="D48" s="82" t="s">
        <v>1406</v>
      </c>
      <c r="E48" s="106">
        <v>1821.9</v>
      </c>
      <c r="F48" s="14"/>
    </row>
    <row r="49" spans="1:6" ht="15" outlineLevel="2">
      <c r="A49" s="66"/>
      <c r="B49" s="83" t="s">
        <v>135</v>
      </c>
      <c r="C49" s="83" t="s">
        <v>1579</v>
      </c>
      <c r="D49" s="83" t="s">
        <v>2346</v>
      </c>
      <c r="E49" s="106">
        <v>532.97</v>
      </c>
      <c r="F49" s="14"/>
    </row>
    <row r="50" spans="1:6" ht="15" outlineLevel="2">
      <c r="A50" s="66"/>
      <c r="B50" s="83" t="s">
        <v>17</v>
      </c>
      <c r="C50" s="83" t="s">
        <v>1579</v>
      </c>
      <c r="D50" s="83" t="s">
        <v>2353</v>
      </c>
      <c r="E50" s="106">
        <v>29</v>
      </c>
      <c r="F50" s="14"/>
    </row>
    <row r="51" spans="1:6" ht="15" outlineLevel="2">
      <c r="A51" s="66"/>
      <c r="B51" s="83" t="s">
        <v>37</v>
      </c>
      <c r="C51" s="83" t="s">
        <v>1581</v>
      </c>
      <c r="D51" s="83" t="s">
        <v>1</v>
      </c>
      <c r="E51" s="106">
        <v>7991</v>
      </c>
      <c r="F51" s="14"/>
    </row>
    <row r="52" spans="1:6" ht="13.5" customHeight="1" outlineLevel="2">
      <c r="A52" s="66"/>
      <c r="B52" s="83" t="s">
        <v>38</v>
      </c>
      <c r="C52" s="83" t="s">
        <v>1582</v>
      </c>
      <c r="D52" s="83" t="s">
        <v>816</v>
      </c>
      <c r="E52" s="106">
        <v>7044.2</v>
      </c>
      <c r="F52" s="14"/>
    </row>
    <row r="53" spans="1:6" ht="15" outlineLevel="2">
      <c r="A53" s="66"/>
      <c r="B53" s="83" t="s">
        <v>54</v>
      </c>
      <c r="C53" s="83" t="s">
        <v>1584</v>
      </c>
      <c r="D53" s="83" t="s">
        <v>2454</v>
      </c>
      <c r="E53" s="106">
        <v>1287.84</v>
      </c>
      <c r="F53" s="14"/>
    </row>
    <row r="54" spans="1:5" ht="12.75" customHeight="1" outlineLevel="1">
      <c r="A54" s="255" t="s">
        <v>1713</v>
      </c>
      <c r="B54" s="256"/>
      <c r="C54" s="256"/>
      <c r="D54" s="257"/>
      <c r="E54" s="105">
        <f>SUM(E55:E66)</f>
        <v>157322.14999999997</v>
      </c>
    </row>
    <row r="55" spans="1:6" ht="15" outlineLevel="2">
      <c r="A55" s="66"/>
      <c r="B55" s="82"/>
      <c r="C55" s="82" t="s">
        <v>1577</v>
      </c>
      <c r="D55" s="82" t="s">
        <v>1496</v>
      </c>
      <c r="E55" s="106">
        <v>13345.8</v>
      </c>
      <c r="F55" s="14"/>
    </row>
    <row r="56" spans="1:6" ht="15" outlineLevel="2">
      <c r="A56" s="66"/>
      <c r="B56" s="83"/>
      <c r="C56" s="83" t="s">
        <v>1578</v>
      </c>
      <c r="D56" s="83" t="s">
        <v>1496</v>
      </c>
      <c r="E56" s="106">
        <v>13345.8</v>
      </c>
      <c r="F56" s="14"/>
    </row>
    <row r="57" spans="1:6" ht="15" outlineLevel="2">
      <c r="A57" s="66"/>
      <c r="B57" s="83"/>
      <c r="C57" s="83" t="s">
        <v>1579</v>
      </c>
      <c r="D57" s="83" t="s">
        <v>1496</v>
      </c>
      <c r="E57" s="106">
        <v>13345.8</v>
      </c>
      <c r="F57" s="14"/>
    </row>
    <row r="58" spans="1:6" ht="15" outlineLevel="2">
      <c r="A58" s="66"/>
      <c r="B58" s="83"/>
      <c r="C58" s="83" t="s">
        <v>1580</v>
      </c>
      <c r="D58" s="83" t="s">
        <v>1496</v>
      </c>
      <c r="E58" s="106">
        <v>13345.8</v>
      </c>
      <c r="F58" s="14"/>
    </row>
    <row r="59" spans="1:6" ht="15" outlineLevel="2">
      <c r="A59" s="66"/>
      <c r="B59" s="83"/>
      <c r="C59" s="83" t="s">
        <v>1581</v>
      </c>
      <c r="D59" s="83" t="s">
        <v>1496</v>
      </c>
      <c r="E59" s="106">
        <v>12780.31</v>
      </c>
      <c r="F59" s="14"/>
    </row>
    <row r="60" spans="1:6" ht="15" outlineLevel="2">
      <c r="A60" s="66"/>
      <c r="B60" s="83"/>
      <c r="C60" s="83" t="s">
        <v>1582</v>
      </c>
      <c r="D60" s="83" t="s">
        <v>1496</v>
      </c>
      <c r="E60" s="106">
        <v>12780.31</v>
      </c>
      <c r="F60" s="14"/>
    </row>
    <row r="61" spans="1:6" ht="15" outlineLevel="2">
      <c r="A61" s="66"/>
      <c r="B61" s="83"/>
      <c r="C61" s="83" t="s">
        <v>1583</v>
      </c>
      <c r="D61" s="83" t="s">
        <v>1496</v>
      </c>
      <c r="E61" s="106">
        <f>12780.31</f>
        <v>12780.31</v>
      </c>
      <c r="F61" s="14"/>
    </row>
    <row r="62" spans="1:6" ht="15" outlineLevel="2">
      <c r="A62" s="66"/>
      <c r="B62" s="83"/>
      <c r="C62" s="83" t="s">
        <v>1584</v>
      </c>
      <c r="D62" s="83" t="s">
        <v>1496</v>
      </c>
      <c r="E62" s="106">
        <f>12780.31</f>
        <v>12780.31</v>
      </c>
      <c r="F62" s="14"/>
    </row>
    <row r="63" spans="1:6" ht="15" outlineLevel="2">
      <c r="A63" s="66"/>
      <c r="B63" s="83"/>
      <c r="C63" s="83" t="s">
        <v>1585</v>
      </c>
      <c r="D63" s="83" t="s">
        <v>1496</v>
      </c>
      <c r="E63" s="106">
        <v>12780.31</v>
      </c>
      <c r="F63" s="14"/>
    </row>
    <row r="64" spans="1:6" ht="15" outlineLevel="2">
      <c r="A64" s="66"/>
      <c r="B64" s="83"/>
      <c r="C64" s="83" t="s">
        <v>1586</v>
      </c>
      <c r="D64" s="83" t="s">
        <v>1496</v>
      </c>
      <c r="E64" s="106">
        <v>13345.8</v>
      </c>
      <c r="F64" s="14"/>
    </row>
    <row r="65" spans="1:6" ht="15" outlineLevel="2">
      <c r="A65" s="66"/>
      <c r="B65" s="83"/>
      <c r="C65" s="83" t="s">
        <v>1587</v>
      </c>
      <c r="D65" s="83" t="s">
        <v>1496</v>
      </c>
      <c r="E65" s="106">
        <v>13345.8</v>
      </c>
      <c r="F65" s="14"/>
    </row>
    <row r="66" spans="1:6" ht="15" outlineLevel="2">
      <c r="A66" s="66"/>
      <c r="B66" s="89"/>
      <c r="C66" s="83" t="s">
        <v>1588</v>
      </c>
      <c r="D66" s="83" t="s">
        <v>1496</v>
      </c>
      <c r="E66" s="106">
        <v>13345.8</v>
      </c>
      <c r="F66" s="14"/>
    </row>
    <row r="67" spans="1:6" ht="15" outlineLevel="1">
      <c r="A67" s="192" t="s">
        <v>1714</v>
      </c>
      <c r="B67" s="193"/>
      <c r="C67" s="193"/>
      <c r="D67" s="193"/>
      <c r="E67" s="105">
        <f>1.46*3770*12</f>
        <v>66050.4</v>
      </c>
      <c r="F67" s="25"/>
    </row>
    <row r="68" spans="1:5" ht="15" outlineLevel="1">
      <c r="A68" s="194" t="s">
        <v>1715</v>
      </c>
      <c r="B68" s="193"/>
      <c r="C68" s="193"/>
      <c r="D68" s="193"/>
      <c r="E68" s="105">
        <f>E69+E70+E71+E72+E73+E74+E75+E76+E77</f>
        <v>6545.450000000001</v>
      </c>
    </row>
    <row r="69" spans="1:6" ht="15" outlineLevel="2">
      <c r="A69" s="66"/>
      <c r="B69" s="82" t="s">
        <v>87</v>
      </c>
      <c r="C69" s="82" t="s">
        <v>1578</v>
      </c>
      <c r="D69" s="82" t="s">
        <v>88</v>
      </c>
      <c r="E69" s="106">
        <v>1007</v>
      </c>
      <c r="F69" s="14"/>
    </row>
    <row r="70" spans="1:6" ht="15" outlineLevel="2">
      <c r="A70" s="66"/>
      <c r="B70" s="83" t="s">
        <v>2</v>
      </c>
      <c r="C70" s="83" t="s">
        <v>1578</v>
      </c>
      <c r="D70" s="83" t="s">
        <v>1495</v>
      </c>
      <c r="E70" s="106">
        <v>318.24</v>
      </c>
      <c r="F70" s="14"/>
    </row>
    <row r="71" spans="1:6" ht="15" outlineLevel="2">
      <c r="A71" s="66"/>
      <c r="B71" s="83" t="s">
        <v>139</v>
      </c>
      <c r="C71" s="83" t="s">
        <v>1580</v>
      </c>
      <c r="D71" s="83" t="s">
        <v>2233</v>
      </c>
      <c r="E71" s="106">
        <v>578.08</v>
      </c>
      <c r="F71" s="14"/>
    </row>
    <row r="72" spans="1:6" ht="15" outlineLevel="2">
      <c r="A72" s="66"/>
      <c r="B72" s="83" t="s">
        <v>1678</v>
      </c>
      <c r="C72" s="83" t="s">
        <v>1581</v>
      </c>
      <c r="D72" s="83" t="s">
        <v>609</v>
      </c>
      <c r="E72" s="106">
        <v>513.59</v>
      </c>
      <c r="F72" s="14"/>
    </row>
    <row r="73" spans="1:6" ht="15" outlineLevel="2">
      <c r="A73" s="66"/>
      <c r="B73" s="83" t="s">
        <v>53</v>
      </c>
      <c r="C73" s="83" t="s">
        <v>1583</v>
      </c>
      <c r="D73" s="83" t="s">
        <v>110</v>
      </c>
      <c r="E73" s="106">
        <v>2533.06</v>
      </c>
      <c r="F73" s="14"/>
    </row>
    <row r="74" spans="1:6" ht="15" outlineLevel="2">
      <c r="A74" s="66"/>
      <c r="B74" s="83"/>
      <c r="C74" s="83" t="s">
        <v>1584</v>
      </c>
      <c r="D74" s="83" t="s">
        <v>762</v>
      </c>
      <c r="E74" s="106">
        <v>621.47</v>
      </c>
      <c r="F74" s="14"/>
    </row>
    <row r="75" spans="1:6" ht="15" outlineLevel="2">
      <c r="A75" s="66"/>
      <c r="B75" s="83" t="s">
        <v>206</v>
      </c>
      <c r="C75" s="83" t="s">
        <v>1587</v>
      </c>
      <c r="D75" s="83" t="s">
        <v>207</v>
      </c>
      <c r="E75" s="106">
        <v>278.3</v>
      </c>
      <c r="F75" s="14"/>
    </row>
    <row r="76" spans="1:6" ht="15" outlineLevel="2">
      <c r="A76" s="66"/>
      <c r="B76" s="83" t="s">
        <v>1899</v>
      </c>
      <c r="C76" s="83" t="s">
        <v>1588</v>
      </c>
      <c r="D76" s="83" t="s">
        <v>1291</v>
      </c>
      <c r="E76" s="106">
        <v>327.6</v>
      </c>
      <c r="F76" s="14"/>
    </row>
    <row r="77" spans="1:6" ht="15" outlineLevel="2">
      <c r="A77" s="66"/>
      <c r="B77" s="83" t="s">
        <v>1958</v>
      </c>
      <c r="C77" s="83" t="s">
        <v>1588</v>
      </c>
      <c r="D77" s="83" t="s">
        <v>1960</v>
      </c>
      <c r="E77" s="106">
        <v>368.11</v>
      </c>
      <c r="F77" s="14"/>
    </row>
    <row r="78" spans="1:5" ht="15" outlineLevel="1">
      <c r="A78" s="299" t="s">
        <v>1716</v>
      </c>
      <c r="B78" s="300"/>
      <c r="C78" s="300"/>
      <c r="D78" s="301"/>
      <c r="E78" s="105">
        <f>E79</f>
        <v>5437</v>
      </c>
    </row>
    <row r="79" spans="1:6" ht="15" outlineLevel="2">
      <c r="A79" s="66"/>
      <c r="B79" s="82" t="s">
        <v>55</v>
      </c>
      <c r="C79" s="82" t="s">
        <v>1584</v>
      </c>
      <c r="D79" s="82" t="s">
        <v>933</v>
      </c>
      <c r="E79" s="106">
        <v>5437</v>
      </c>
      <c r="F79" s="14"/>
    </row>
    <row r="80" spans="1:5" ht="15" outlineLevel="1">
      <c r="A80" s="299" t="s">
        <v>1595</v>
      </c>
      <c r="B80" s="300"/>
      <c r="C80" s="300"/>
      <c r="D80" s="301"/>
      <c r="E80" s="105">
        <f>E81+E82+E83+E84+E85+E86+E87+E88+E89</f>
        <v>26910.5</v>
      </c>
    </row>
    <row r="81" spans="1:6" ht="15" outlineLevel="2">
      <c r="A81" s="66"/>
      <c r="B81" s="82" t="s">
        <v>5</v>
      </c>
      <c r="C81" s="82" t="s">
        <v>1577</v>
      </c>
      <c r="D81" s="82" t="s">
        <v>2193</v>
      </c>
      <c r="E81" s="106">
        <v>695.7</v>
      </c>
      <c r="F81" s="14"/>
    </row>
    <row r="82" spans="1:6" ht="15" outlineLevel="2">
      <c r="A82" s="66"/>
      <c r="B82" s="83" t="s">
        <v>1244</v>
      </c>
      <c r="C82" s="83" t="s">
        <v>1580</v>
      </c>
      <c r="D82" s="83" t="s">
        <v>668</v>
      </c>
      <c r="E82" s="106">
        <v>346.94</v>
      </c>
      <c r="F82" s="14"/>
    </row>
    <row r="83" spans="1:6" ht="15" outlineLevel="2">
      <c r="A83" s="66"/>
      <c r="B83" s="83" t="s">
        <v>1244</v>
      </c>
      <c r="C83" s="83" t="s">
        <v>1580</v>
      </c>
      <c r="D83" s="83" t="s">
        <v>669</v>
      </c>
      <c r="E83" s="106">
        <v>106.84</v>
      </c>
      <c r="F83" s="14"/>
    </row>
    <row r="84" spans="1:6" ht="15" outlineLevel="2">
      <c r="A84" s="66"/>
      <c r="B84" s="83" t="s">
        <v>1703</v>
      </c>
      <c r="C84" s="83" t="s">
        <v>1581</v>
      </c>
      <c r="D84" s="83" t="s">
        <v>44</v>
      </c>
      <c r="E84" s="106">
        <v>368.98</v>
      </c>
      <c r="F84" s="14"/>
    </row>
    <row r="85" spans="1:6" ht="15" outlineLevel="2">
      <c r="A85" s="66"/>
      <c r="B85" s="83" t="s">
        <v>40</v>
      </c>
      <c r="C85" s="83" t="s">
        <v>1583</v>
      </c>
      <c r="D85" s="83" t="s">
        <v>1171</v>
      </c>
      <c r="E85" s="106">
        <v>11520</v>
      </c>
      <c r="F85" s="14"/>
    </row>
    <row r="86" spans="1:6" ht="15" outlineLevel="2">
      <c r="A86" s="66"/>
      <c r="B86" s="83" t="s">
        <v>43</v>
      </c>
      <c r="C86" s="83" t="s">
        <v>1583</v>
      </c>
      <c r="D86" s="83" t="s">
        <v>178</v>
      </c>
      <c r="E86" s="106">
        <v>2071.41</v>
      </c>
      <c r="F86" s="14"/>
    </row>
    <row r="87" spans="1:6" ht="15" outlineLevel="2">
      <c r="A87" s="66"/>
      <c r="B87" s="83" t="s">
        <v>1884</v>
      </c>
      <c r="C87" s="83" t="s">
        <v>1586</v>
      </c>
      <c r="D87" s="83" t="s">
        <v>1885</v>
      </c>
      <c r="E87" s="106">
        <v>10381.37</v>
      </c>
      <c r="F87" s="14"/>
    </row>
    <row r="88" spans="1:6" ht="15" outlineLevel="2">
      <c r="A88" s="66"/>
      <c r="B88" s="83" t="s">
        <v>1192</v>
      </c>
      <c r="C88" s="83" t="s">
        <v>1587</v>
      </c>
      <c r="D88" s="83" t="s">
        <v>1197</v>
      </c>
      <c r="E88" s="106">
        <v>143.88</v>
      </c>
      <c r="F88" s="14"/>
    </row>
    <row r="89" spans="1:6" ht="15" outlineLevel="2">
      <c r="A89" s="66"/>
      <c r="B89" s="83" t="s">
        <v>986</v>
      </c>
      <c r="C89" s="83" t="s">
        <v>1588</v>
      </c>
      <c r="D89" s="83" t="s">
        <v>987</v>
      </c>
      <c r="E89" s="106">
        <v>1275.38</v>
      </c>
      <c r="F89" s="14"/>
    </row>
    <row r="90" spans="1:5" ht="15" outlineLevel="1">
      <c r="A90" s="299" t="s">
        <v>1718</v>
      </c>
      <c r="B90" s="300"/>
      <c r="C90" s="300"/>
      <c r="D90" s="301"/>
      <c r="E90" s="105">
        <f>E91+E92+E93+E94+E95+E96+E97</f>
        <v>4911.849999999999</v>
      </c>
    </row>
    <row r="91" spans="1:6" ht="15" outlineLevel="2">
      <c r="A91" s="66"/>
      <c r="B91" s="82" t="s">
        <v>83</v>
      </c>
      <c r="C91" s="82" t="s">
        <v>1577</v>
      </c>
      <c r="D91" s="82" t="s">
        <v>1917</v>
      </c>
      <c r="E91" s="106">
        <v>329.6</v>
      </c>
      <c r="F91" s="14"/>
    </row>
    <row r="92" spans="1:6" ht="15" outlineLevel="2">
      <c r="A92" s="66"/>
      <c r="B92" s="83" t="s">
        <v>1534</v>
      </c>
      <c r="C92" s="83" t="s">
        <v>1577</v>
      </c>
      <c r="D92" s="83" t="s">
        <v>1535</v>
      </c>
      <c r="E92" s="106">
        <v>299.54</v>
      </c>
      <c r="F92" s="14"/>
    </row>
    <row r="93" spans="1:6" ht="15" outlineLevel="2">
      <c r="A93" s="66"/>
      <c r="B93" s="83" t="s">
        <v>2</v>
      </c>
      <c r="C93" s="83" t="s">
        <v>1577</v>
      </c>
      <c r="D93" s="83" t="s">
        <v>2268</v>
      </c>
      <c r="E93" s="106">
        <v>1941.24</v>
      </c>
      <c r="F93" s="14"/>
    </row>
    <row r="94" spans="1:6" ht="15" outlineLevel="2">
      <c r="A94" s="66"/>
      <c r="B94" s="83" t="s">
        <v>2</v>
      </c>
      <c r="C94" s="83" t="s">
        <v>57</v>
      </c>
      <c r="D94" s="83" t="s">
        <v>721</v>
      </c>
      <c r="E94" s="106">
        <v>120.73</v>
      </c>
      <c r="F94" s="14"/>
    </row>
    <row r="95" spans="1:6" ht="15" outlineLevel="2">
      <c r="A95" s="66"/>
      <c r="B95" s="83" t="s">
        <v>2</v>
      </c>
      <c r="C95" s="83" t="s">
        <v>1581</v>
      </c>
      <c r="D95" s="83" t="s">
        <v>2390</v>
      </c>
      <c r="E95" s="106">
        <v>1893.77</v>
      </c>
      <c r="F95" s="14"/>
    </row>
    <row r="96" spans="1:6" ht="15" outlineLevel="2">
      <c r="A96" s="66"/>
      <c r="B96" s="83" t="s">
        <v>2</v>
      </c>
      <c r="C96" s="83" t="s">
        <v>57</v>
      </c>
      <c r="D96" s="83" t="s">
        <v>935</v>
      </c>
      <c r="E96" s="106">
        <v>134.4</v>
      </c>
      <c r="F96" s="14"/>
    </row>
    <row r="97" spans="1:6" ht="15" outlineLevel="2">
      <c r="A97" s="66"/>
      <c r="B97" s="84" t="s">
        <v>905</v>
      </c>
      <c r="C97" s="84" t="s">
        <v>1587</v>
      </c>
      <c r="D97" s="84" t="s">
        <v>906</v>
      </c>
      <c r="E97" s="106">
        <v>192.57</v>
      </c>
      <c r="F97" s="14"/>
    </row>
    <row r="98" spans="1:6" ht="15" outlineLevel="2">
      <c r="A98" s="299" t="s">
        <v>1369</v>
      </c>
      <c r="B98" s="300"/>
      <c r="C98" s="300"/>
      <c r="D98" s="301"/>
      <c r="E98" s="105">
        <v>3166.66</v>
      </c>
      <c r="F98" s="14"/>
    </row>
    <row r="99" spans="1:6" ht="15" outlineLevel="2">
      <c r="A99" s="299" t="s">
        <v>0</v>
      </c>
      <c r="B99" s="300"/>
      <c r="C99" s="300"/>
      <c r="D99" s="301"/>
      <c r="E99" s="105">
        <f>0.1*3770*12</f>
        <v>4524</v>
      </c>
      <c r="F99" s="14"/>
    </row>
    <row r="100" spans="1:5" ht="15">
      <c r="A100" s="299" t="s">
        <v>1719</v>
      </c>
      <c r="B100" s="300"/>
      <c r="C100" s="300"/>
      <c r="D100" s="301"/>
      <c r="E100" s="105">
        <f>SUM(E101:E101)</f>
        <v>6084</v>
      </c>
    </row>
    <row r="101" spans="1:6" ht="30" outlineLevel="1">
      <c r="A101" s="66"/>
      <c r="B101" s="82" t="s">
        <v>2265</v>
      </c>
      <c r="C101" s="82" t="s">
        <v>1578</v>
      </c>
      <c r="D101" s="82" t="s">
        <v>2266</v>
      </c>
      <c r="E101" s="106">
        <v>6084</v>
      </c>
      <c r="F101" s="14"/>
    </row>
    <row r="102" spans="1:6" ht="15">
      <c r="A102" s="66"/>
      <c r="B102" s="270" t="s">
        <v>255</v>
      </c>
      <c r="C102" s="270"/>
      <c r="D102" s="270"/>
      <c r="E102" s="43">
        <f>0.94*3770*12</f>
        <v>42525.6</v>
      </c>
      <c r="F102" s="26"/>
    </row>
    <row r="103" spans="1:6" ht="15">
      <c r="A103" s="66"/>
      <c r="B103" s="270" t="s">
        <v>59</v>
      </c>
      <c r="C103" s="270"/>
      <c r="D103" s="270"/>
      <c r="E103" s="43">
        <f>1.57*3770*12</f>
        <v>71026.8</v>
      </c>
      <c r="F103" s="14"/>
    </row>
    <row r="104" spans="1:6" ht="15">
      <c r="A104" s="66"/>
      <c r="B104" s="270" t="s">
        <v>256</v>
      </c>
      <c r="C104" s="270"/>
      <c r="D104" s="270"/>
      <c r="E104" s="43">
        <f>10.3*(E106+E107)/100</f>
        <v>99951.2412</v>
      </c>
      <c r="F104" s="14"/>
    </row>
    <row r="105" spans="1:5" ht="15">
      <c r="A105" s="66">
        <v>1</v>
      </c>
      <c r="B105" s="272" t="s">
        <v>659</v>
      </c>
      <c r="C105" s="272"/>
      <c r="D105" s="272"/>
      <c r="E105" s="44">
        <f>E3+E10+E102+E103+E104</f>
        <v>649397.3212</v>
      </c>
    </row>
    <row r="106" spans="1:6" ht="15">
      <c r="A106" s="66">
        <v>2</v>
      </c>
      <c r="B106" s="270" t="s">
        <v>258</v>
      </c>
      <c r="C106" s="270"/>
      <c r="D106" s="270"/>
      <c r="E106" s="43">
        <v>852776.4</v>
      </c>
      <c r="F106" s="14"/>
    </row>
    <row r="107" spans="1:5" ht="15">
      <c r="A107" s="66">
        <v>3</v>
      </c>
      <c r="B107" s="270" t="s">
        <v>259</v>
      </c>
      <c r="C107" s="270"/>
      <c r="D107" s="270"/>
      <c r="E107" s="43">
        <v>117624</v>
      </c>
    </row>
    <row r="108" spans="1:5" ht="15">
      <c r="A108" s="66">
        <v>4</v>
      </c>
      <c r="B108" s="270" t="s">
        <v>660</v>
      </c>
      <c r="C108" s="270"/>
      <c r="D108" s="270"/>
      <c r="E108" s="43">
        <v>2644569.96</v>
      </c>
    </row>
    <row r="109" spans="1:5" ht="15">
      <c r="A109" s="66">
        <v>5</v>
      </c>
      <c r="B109" s="270" t="s">
        <v>2340</v>
      </c>
      <c r="C109" s="270"/>
      <c r="D109" s="270"/>
      <c r="E109" s="43">
        <v>2096534.24</v>
      </c>
    </row>
    <row r="110" spans="1:5" ht="15">
      <c r="A110" s="66">
        <v>6</v>
      </c>
      <c r="B110" s="272" t="s">
        <v>2341</v>
      </c>
      <c r="C110" s="272"/>
      <c r="D110" s="272"/>
      <c r="E110" s="44">
        <f>'[5]Комсомольский 6'!$E$199+E105</f>
        <v>1388307.1112000002</v>
      </c>
    </row>
    <row r="111" spans="1:5" ht="15">
      <c r="A111" s="66">
        <v>7</v>
      </c>
      <c r="B111" s="270" t="s">
        <v>732</v>
      </c>
      <c r="C111" s="270"/>
      <c r="D111" s="270"/>
      <c r="E111" s="43">
        <v>368247.9</v>
      </c>
    </row>
    <row r="112" spans="1:5" ht="15">
      <c r="A112" s="66">
        <v>8</v>
      </c>
      <c r="B112" s="270" t="s">
        <v>733</v>
      </c>
      <c r="C112" s="270"/>
      <c r="D112" s="270"/>
      <c r="E112" s="43">
        <v>291811.7</v>
      </c>
    </row>
    <row r="113" spans="1:5" ht="15">
      <c r="A113" s="66">
        <v>9</v>
      </c>
      <c r="B113" s="272" t="s">
        <v>734</v>
      </c>
      <c r="C113" s="272"/>
      <c r="D113" s="272"/>
      <c r="E113" s="44">
        <v>0</v>
      </c>
    </row>
    <row r="114" spans="1:5" ht="15">
      <c r="A114" s="66">
        <v>10</v>
      </c>
      <c r="B114" s="270" t="s">
        <v>260</v>
      </c>
      <c r="C114" s="270"/>
      <c r="D114" s="270"/>
      <c r="E114" s="43">
        <v>739903.22</v>
      </c>
    </row>
    <row r="115" spans="1:5" ht="15">
      <c r="A115" s="66">
        <v>11</v>
      </c>
      <c r="B115" s="270" t="s">
        <v>735</v>
      </c>
      <c r="C115" s="270"/>
      <c r="D115" s="270"/>
      <c r="E115" s="43">
        <v>102055.33</v>
      </c>
    </row>
    <row r="116" spans="1:5" ht="15">
      <c r="A116" s="66">
        <v>12</v>
      </c>
      <c r="B116" s="272" t="s">
        <v>736</v>
      </c>
      <c r="C116" s="272"/>
      <c r="D116" s="272"/>
      <c r="E116" s="44">
        <v>0</v>
      </c>
    </row>
    <row r="117" spans="1:5" ht="18" customHeight="1">
      <c r="A117" s="66">
        <v>13</v>
      </c>
      <c r="B117" s="292" t="s">
        <v>2139</v>
      </c>
      <c r="C117" s="292"/>
      <c r="D117" s="292"/>
      <c r="E117" s="45">
        <f>E108-E110</f>
        <v>1256262.8487999998</v>
      </c>
    </row>
    <row r="118" spans="1:5" ht="17.25" customHeight="1">
      <c r="A118" s="66">
        <v>14</v>
      </c>
      <c r="B118" s="292" t="s">
        <v>2146</v>
      </c>
      <c r="C118" s="292"/>
      <c r="D118" s="292"/>
      <c r="E118" s="45">
        <f>E111-E113</f>
        <v>368247.9</v>
      </c>
    </row>
    <row r="119" spans="1:5" ht="31.5" customHeight="1">
      <c r="A119" s="66">
        <v>15</v>
      </c>
      <c r="B119" s="292" t="s">
        <v>489</v>
      </c>
      <c r="C119" s="292"/>
      <c r="D119" s="292"/>
      <c r="E119" s="45">
        <f>E109-E110</f>
        <v>708227.1287999998</v>
      </c>
    </row>
    <row r="120" ht="12.75">
      <c r="E120" s="39"/>
    </row>
    <row r="121" spans="1:5" ht="12.75">
      <c r="A121" s="173"/>
      <c r="B121" s="20"/>
      <c r="C121" s="20"/>
      <c r="D121" s="20"/>
      <c r="E121" s="174"/>
    </row>
    <row r="122" spans="1:5" ht="12.75">
      <c r="A122" s="173"/>
      <c r="B122" s="20"/>
      <c r="C122" s="20"/>
      <c r="D122" s="20"/>
      <c r="E122" s="174"/>
    </row>
    <row r="123" spans="1:5" ht="12.75">
      <c r="A123" s="173"/>
      <c r="B123" s="20"/>
      <c r="C123" s="20"/>
      <c r="D123" s="20"/>
      <c r="E123" s="174"/>
    </row>
    <row r="124" spans="1:5" ht="12.75">
      <c r="A124" s="173"/>
      <c r="B124" s="20"/>
      <c r="C124" s="20"/>
      <c r="D124" s="20"/>
      <c r="E124" s="174"/>
    </row>
    <row r="125" spans="1:5" ht="12.75">
      <c r="A125" s="173"/>
      <c r="B125" s="20"/>
      <c r="C125" s="20"/>
      <c r="D125" s="20"/>
      <c r="E125" s="20"/>
    </row>
    <row r="126" spans="1:5" ht="12.75">
      <c r="A126" s="173"/>
      <c r="B126" s="20"/>
      <c r="C126" s="20"/>
      <c r="D126" s="20"/>
      <c r="E126" s="175"/>
    </row>
    <row r="127" spans="1:5" ht="12.75">
      <c r="A127" s="173"/>
      <c r="B127" s="20"/>
      <c r="C127" s="20"/>
      <c r="D127" s="20"/>
      <c r="E127" s="175"/>
    </row>
    <row r="128" spans="1:5" ht="12.75">
      <c r="A128" s="173"/>
      <c r="B128" s="20"/>
      <c r="C128" s="20"/>
      <c r="D128" s="20"/>
      <c r="E128" s="175"/>
    </row>
    <row r="129" spans="1:5" ht="12.75">
      <c r="A129" s="173"/>
      <c r="B129" s="20"/>
      <c r="C129" s="20"/>
      <c r="D129" s="20"/>
      <c r="E129" s="175"/>
    </row>
    <row r="130" spans="1:5" ht="12.75">
      <c r="A130" s="173"/>
      <c r="B130" s="20"/>
      <c r="C130" s="20"/>
      <c r="D130" s="20"/>
      <c r="E130" s="175"/>
    </row>
    <row r="131" spans="1:5" ht="12.75">
      <c r="A131" s="173"/>
      <c r="B131" s="20"/>
      <c r="C131" s="20"/>
      <c r="D131" s="20"/>
      <c r="E131" s="175"/>
    </row>
    <row r="132" spans="1:5" ht="12.75">
      <c r="A132" s="173"/>
      <c r="B132" s="20"/>
      <c r="C132" s="20"/>
      <c r="D132" s="20"/>
      <c r="E132" s="175"/>
    </row>
    <row r="133" spans="1:5" ht="12.75">
      <c r="A133" s="173"/>
      <c r="B133" s="20"/>
      <c r="C133" s="20"/>
      <c r="D133" s="20"/>
      <c r="E133" s="175"/>
    </row>
    <row r="134" spans="1:5" ht="12.75">
      <c r="A134" s="173"/>
      <c r="B134" s="20"/>
      <c r="C134" s="20"/>
      <c r="D134" s="20"/>
      <c r="E134" s="175"/>
    </row>
    <row r="135" spans="1:5" ht="12.75">
      <c r="A135" s="173"/>
      <c r="B135" s="20"/>
      <c r="C135" s="20"/>
      <c r="D135" s="20"/>
      <c r="E135" s="175"/>
    </row>
    <row r="136" spans="1:5" ht="12.75">
      <c r="A136" s="173"/>
      <c r="B136" s="20"/>
      <c r="C136" s="20"/>
      <c r="D136" s="20"/>
      <c r="E136" s="175"/>
    </row>
    <row r="137" spans="1:5" ht="12.75">
      <c r="A137" s="173"/>
      <c r="B137" s="20"/>
      <c r="C137" s="20"/>
      <c r="D137" s="20"/>
      <c r="E137" s="175"/>
    </row>
    <row r="138" spans="1:5" ht="12.75">
      <c r="A138" s="173"/>
      <c r="B138" s="20"/>
      <c r="C138" s="20"/>
      <c r="D138" s="20"/>
      <c r="E138" s="175"/>
    </row>
    <row r="139" spans="1:5" ht="12.75">
      <c r="A139" s="173"/>
      <c r="B139" s="20"/>
      <c r="C139" s="20"/>
      <c r="D139" s="20"/>
      <c r="E139" s="175"/>
    </row>
    <row r="140" spans="1:5" ht="12.75">
      <c r="A140" s="173"/>
      <c r="B140" s="20"/>
      <c r="C140" s="20"/>
      <c r="D140" s="20"/>
      <c r="E140" s="175"/>
    </row>
    <row r="141" spans="1:5" ht="12.75">
      <c r="A141" s="173"/>
      <c r="B141" s="20"/>
      <c r="C141" s="20"/>
      <c r="D141" s="20"/>
      <c r="E141" s="175"/>
    </row>
    <row r="142" spans="1:5" ht="12.75">
      <c r="A142" s="173"/>
      <c r="B142" s="20"/>
      <c r="C142" s="20"/>
      <c r="D142" s="20"/>
      <c r="E142" s="175"/>
    </row>
    <row r="143" spans="1:5" ht="12.75">
      <c r="A143" s="173"/>
      <c r="B143" s="20"/>
      <c r="C143" s="20"/>
      <c r="D143" s="20"/>
      <c r="E143" s="175"/>
    </row>
    <row r="144" spans="1:5" ht="12.75">
      <c r="A144" s="173"/>
      <c r="B144" s="20"/>
      <c r="C144" s="20"/>
      <c r="D144" s="20"/>
      <c r="E144" s="175"/>
    </row>
    <row r="145" spans="1:5" ht="12.75">
      <c r="A145" s="173"/>
      <c r="B145" s="20"/>
      <c r="C145" s="20"/>
      <c r="D145" s="20"/>
      <c r="E145" s="175"/>
    </row>
    <row r="146" spans="1:5" ht="12.75">
      <c r="A146" s="173"/>
      <c r="B146" s="20"/>
      <c r="C146" s="20"/>
      <c r="D146" s="20"/>
      <c r="E146" s="175"/>
    </row>
    <row r="147" spans="1:5" ht="12.75">
      <c r="A147" s="173"/>
      <c r="B147" s="20"/>
      <c r="C147" s="20"/>
      <c r="D147" s="20"/>
      <c r="E147" s="175"/>
    </row>
    <row r="148" spans="1:5" ht="12.75">
      <c r="A148" s="173"/>
      <c r="B148" s="20"/>
      <c r="C148" s="20"/>
      <c r="D148" s="20"/>
      <c r="E148" s="175"/>
    </row>
    <row r="149" spans="1:5" ht="12.75">
      <c r="A149" s="173"/>
      <c r="B149" s="20"/>
      <c r="C149" s="20"/>
      <c r="D149" s="20"/>
      <c r="E149" s="175"/>
    </row>
    <row r="150" spans="1:5" ht="12.75">
      <c r="A150" s="173"/>
      <c r="B150" s="20"/>
      <c r="C150" s="20"/>
      <c r="D150" s="20"/>
      <c r="E150" s="175"/>
    </row>
    <row r="151" spans="1:5" ht="12.75">
      <c r="A151" s="173"/>
      <c r="B151" s="20"/>
      <c r="C151" s="20"/>
      <c r="D151" s="20"/>
      <c r="E151" s="175"/>
    </row>
    <row r="152" spans="1:5" ht="12.75">
      <c r="A152" s="173"/>
      <c r="B152" s="20"/>
      <c r="C152" s="20"/>
      <c r="D152" s="20"/>
      <c r="E152" s="175"/>
    </row>
    <row r="153" spans="1:5" ht="12.75">
      <c r="A153" s="173"/>
      <c r="B153" s="20"/>
      <c r="C153" s="20"/>
      <c r="D153" s="20"/>
      <c r="E153" s="175"/>
    </row>
    <row r="154" spans="1:5" ht="12.75">
      <c r="A154" s="173"/>
      <c r="B154" s="20"/>
      <c r="C154" s="20"/>
      <c r="D154" s="20"/>
      <c r="E154" s="175"/>
    </row>
    <row r="155" spans="1:5" ht="12.75">
      <c r="A155" s="173"/>
      <c r="B155" s="20"/>
      <c r="C155" s="20"/>
      <c r="D155" s="20"/>
      <c r="E155" s="175"/>
    </row>
    <row r="156" spans="1:5" ht="12.75">
      <c r="A156" s="173"/>
      <c r="B156" s="20"/>
      <c r="C156" s="20"/>
      <c r="D156" s="20"/>
      <c r="E156" s="175"/>
    </row>
    <row r="157" spans="1:5" ht="12.75">
      <c r="A157" s="173"/>
      <c r="B157" s="20"/>
      <c r="C157" s="20"/>
      <c r="D157" s="20"/>
      <c r="E157" s="175"/>
    </row>
    <row r="158" spans="1:5" ht="12.75">
      <c r="A158" s="173"/>
      <c r="B158" s="20"/>
      <c r="C158" s="20"/>
      <c r="D158" s="20"/>
      <c r="E158" s="175"/>
    </row>
    <row r="159" spans="1:5" ht="12.75">
      <c r="A159" s="173"/>
      <c r="B159" s="20"/>
      <c r="C159" s="20"/>
      <c r="D159" s="20"/>
      <c r="E159" s="175"/>
    </row>
    <row r="160" spans="1:5" ht="12.75">
      <c r="A160" s="173"/>
      <c r="B160" s="20"/>
      <c r="C160" s="20"/>
      <c r="D160" s="20"/>
      <c r="E160" s="176"/>
    </row>
    <row r="161" spans="1:5" ht="12.75">
      <c r="A161" s="173"/>
      <c r="B161" s="20"/>
      <c r="C161" s="20"/>
      <c r="D161" s="20"/>
      <c r="E161" s="175"/>
    </row>
    <row r="162" spans="1:5" ht="12.75">
      <c r="A162" s="173"/>
      <c r="B162" s="20"/>
      <c r="C162" s="20"/>
      <c r="D162" s="20"/>
      <c r="E162" s="175"/>
    </row>
    <row r="163" spans="1:5" ht="12.75">
      <c r="A163" s="173"/>
      <c r="B163" s="20"/>
      <c r="C163" s="20"/>
      <c r="D163" s="20"/>
      <c r="E163" s="175"/>
    </row>
    <row r="164" spans="1:5" ht="12.75">
      <c r="A164" s="173"/>
      <c r="B164" s="20"/>
      <c r="C164" s="20"/>
      <c r="D164" s="20"/>
      <c r="E164" s="177"/>
    </row>
    <row r="165" spans="1:5" ht="12.75">
      <c r="A165" s="173"/>
      <c r="B165" s="20"/>
      <c r="C165" s="20"/>
      <c r="D165" s="20"/>
      <c r="E165" s="20"/>
    </row>
  </sheetData>
  <sheetProtection/>
  <mergeCells count="38">
    <mergeCell ref="A100:D100"/>
    <mergeCell ref="A78:D78"/>
    <mergeCell ref="A98:D98"/>
    <mergeCell ref="A99:D99"/>
    <mergeCell ref="A47:D47"/>
    <mergeCell ref="A54:D54"/>
    <mergeCell ref="A80:D80"/>
    <mergeCell ref="A10:D10"/>
    <mergeCell ref="A20:D20"/>
    <mergeCell ref="A26:D26"/>
    <mergeCell ref="A1:E1"/>
    <mergeCell ref="A44:D44"/>
    <mergeCell ref="A90:D90"/>
    <mergeCell ref="B119:D119"/>
    <mergeCell ref="B111:D111"/>
    <mergeCell ref="B112:D112"/>
    <mergeCell ref="B113:D113"/>
    <mergeCell ref="B114:D114"/>
    <mergeCell ref="B117:D117"/>
    <mergeCell ref="B116:D116"/>
    <mergeCell ref="B108:D108"/>
    <mergeCell ref="B105:D105"/>
    <mergeCell ref="B118:D118"/>
    <mergeCell ref="B106:D106"/>
    <mergeCell ref="B110:D110"/>
    <mergeCell ref="B115:D115"/>
    <mergeCell ref="B107:D107"/>
    <mergeCell ref="B109:D109"/>
    <mergeCell ref="B104:D104"/>
    <mergeCell ref="B3:C3"/>
    <mergeCell ref="B102:D102"/>
    <mergeCell ref="B103:D103"/>
    <mergeCell ref="B9:D9"/>
    <mergeCell ref="A4:D4"/>
    <mergeCell ref="A6:D6"/>
    <mergeCell ref="A8:D8"/>
    <mergeCell ref="A32:D32"/>
    <mergeCell ref="A11:D11"/>
  </mergeCells>
  <printOptions/>
  <pageMargins left="0.24" right="0.18" top="0.35" bottom="0.19" header="0.27" footer="0.17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9"/>
  <sheetViews>
    <sheetView zoomScalePageLayoutView="0" workbookViewId="0" topLeftCell="B43">
      <selection activeCell="F94" sqref="B1:F94"/>
    </sheetView>
  </sheetViews>
  <sheetFormatPr defaultColWidth="13.421875" defaultRowHeight="12.75" outlineLevelRow="2"/>
  <cols>
    <col min="1" max="1" width="9.140625" style="1" customWidth="1"/>
    <col min="2" max="2" width="6.421875" style="1" customWidth="1"/>
    <col min="3" max="3" width="11.8515625" style="1" customWidth="1"/>
    <col min="4" max="4" width="11.140625" style="1" customWidth="1"/>
    <col min="5" max="5" width="71.28125" style="1" customWidth="1"/>
    <col min="6" max="6" width="14.57421875" style="1" customWidth="1"/>
    <col min="7" max="9" width="11.421875" style="1" customWidth="1"/>
    <col min="10" max="99" width="12.421875" style="1" customWidth="1"/>
    <col min="100" max="16384" width="13.421875" style="1" customWidth="1"/>
  </cols>
  <sheetData>
    <row r="1" spans="2:6" ht="13.5" customHeight="1">
      <c r="B1" s="265" t="s">
        <v>122</v>
      </c>
      <c r="C1" s="265"/>
      <c r="D1" s="265"/>
      <c r="E1" s="265"/>
      <c r="F1" s="266"/>
    </row>
    <row r="2" spans="2:7" ht="30">
      <c r="B2" s="42"/>
      <c r="C2" s="133" t="s">
        <v>1570</v>
      </c>
      <c r="D2" s="134" t="s">
        <v>1571</v>
      </c>
      <c r="E2" s="113" t="s">
        <v>1572</v>
      </c>
      <c r="F2" s="135" t="s">
        <v>1573</v>
      </c>
      <c r="G2" s="6"/>
    </row>
    <row r="3" spans="1:6" ht="12.75" customHeight="1">
      <c r="A3" s="7"/>
      <c r="B3" s="136"/>
      <c r="C3" s="308"/>
      <c r="D3" s="308"/>
      <c r="E3" s="190" t="s">
        <v>1575</v>
      </c>
      <c r="F3" s="130">
        <f>F4+F6</f>
        <v>7380.95</v>
      </c>
    </row>
    <row r="4" spans="2:6" ht="15" outlineLevel="1">
      <c r="B4" s="255" t="s">
        <v>1589</v>
      </c>
      <c r="C4" s="256"/>
      <c r="D4" s="256"/>
      <c r="E4" s="257"/>
      <c r="F4" s="105">
        <f>SUM(F5:F5)</f>
        <v>1981.95</v>
      </c>
    </row>
    <row r="5" spans="2:7" ht="14.25" customHeight="1" outlineLevel="2">
      <c r="B5" s="81"/>
      <c r="C5" s="85" t="s">
        <v>2143</v>
      </c>
      <c r="D5" s="85" t="s">
        <v>1577</v>
      </c>
      <c r="E5" s="85" t="s">
        <v>2033</v>
      </c>
      <c r="F5" s="106">
        <v>1981.95</v>
      </c>
      <c r="G5" s="14"/>
    </row>
    <row r="6" spans="2:6" ht="12.75" customHeight="1" outlineLevel="1">
      <c r="B6" s="255" t="s">
        <v>1595</v>
      </c>
      <c r="C6" s="256"/>
      <c r="D6" s="256"/>
      <c r="E6" s="257"/>
      <c r="F6" s="105">
        <f>SUM(F7:F7)</f>
        <v>5399</v>
      </c>
    </row>
    <row r="7" spans="2:7" ht="15" outlineLevel="2">
      <c r="B7" s="81"/>
      <c r="C7" s="85" t="s">
        <v>2068</v>
      </c>
      <c r="D7" s="85" t="s">
        <v>1577</v>
      </c>
      <c r="E7" s="85" t="s">
        <v>2069</v>
      </c>
      <c r="F7" s="106">
        <v>5399</v>
      </c>
      <c r="G7" s="14"/>
    </row>
    <row r="8" spans="1:6" ht="13.5" customHeight="1">
      <c r="A8" s="7"/>
      <c r="B8" s="91"/>
      <c r="C8" s="308"/>
      <c r="D8" s="308"/>
      <c r="E8" s="155" t="s">
        <v>1600</v>
      </c>
      <c r="F8" s="130">
        <f>F9+F16+F22+F28+F39+F41+F47+F60+F61+F64+F67+F71+F75+F76</f>
        <v>336762.0829999999</v>
      </c>
    </row>
    <row r="9" spans="2:6" ht="15" outlineLevel="1">
      <c r="B9" s="255" t="s">
        <v>1576</v>
      </c>
      <c r="C9" s="256"/>
      <c r="D9" s="256"/>
      <c r="E9" s="257"/>
      <c r="F9" s="105">
        <f>SUM(F10:F15)</f>
        <v>3360.19</v>
      </c>
    </row>
    <row r="10" spans="2:7" ht="30" outlineLevel="2">
      <c r="B10" s="42"/>
      <c r="C10" s="83" t="s">
        <v>16</v>
      </c>
      <c r="D10" s="83" t="s">
        <v>1579</v>
      </c>
      <c r="E10" s="83" t="s">
        <v>230</v>
      </c>
      <c r="F10" s="106">
        <v>181.54</v>
      </c>
      <c r="G10" s="14"/>
    </row>
    <row r="11" spans="2:7" ht="15" outlineLevel="2">
      <c r="B11" s="42"/>
      <c r="C11" s="83" t="s">
        <v>2</v>
      </c>
      <c r="D11" s="83" t="s">
        <v>1580</v>
      </c>
      <c r="E11" s="83" t="s">
        <v>2277</v>
      </c>
      <c r="F11" s="106">
        <v>59.95</v>
      </c>
      <c r="G11" s="14"/>
    </row>
    <row r="12" spans="2:7" ht="15" outlineLevel="2">
      <c r="B12" s="42"/>
      <c r="C12" s="83" t="s">
        <v>433</v>
      </c>
      <c r="D12" s="83" t="s">
        <v>1581</v>
      </c>
      <c r="E12" s="83" t="s">
        <v>2107</v>
      </c>
      <c r="F12" s="106">
        <v>573</v>
      </c>
      <c r="G12" s="14"/>
    </row>
    <row r="13" spans="2:7" ht="15" outlineLevel="2">
      <c r="B13" s="42"/>
      <c r="C13" s="83" t="s">
        <v>1249</v>
      </c>
      <c r="D13" s="83" t="s">
        <v>1581</v>
      </c>
      <c r="E13" s="83" t="s">
        <v>1063</v>
      </c>
      <c r="F13" s="106">
        <v>977.47</v>
      </c>
      <c r="G13" s="14"/>
    </row>
    <row r="14" spans="2:7" ht="29.25" customHeight="1" outlineLevel="2">
      <c r="B14" s="42"/>
      <c r="C14" s="83" t="s">
        <v>508</v>
      </c>
      <c r="D14" s="83" t="s">
        <v>1582</v>
      </c>
      <c r="E14" s="83" t="s">
        <v>509</v>
      </c>
      <c r="F14" s="106">
        <v>491.31</v>
      </c>
      <c r="G14" s="14"/>
    </row>
    <row r="15" spans="2:7" ht="15" outlineLevel="2">
      <c r="B15" s="42"/>
      <c r="C15" s="83" t="s">
        <v>1033</v>
      </c>
      <c r="D15" s="83" t="s">
        <v>1583</v>
      </c>
      <c r="E15" s="83" t="s">
        <v>509</v>
      </c>
      <c r="F15" s="106">
        <v>1076.92</v>
      </c>
      <c r="G15" s="14"/>
    </row>
    <row r="16" spans="2:6" ht="15" outlineLevel="1">
      <c r="B16" s="255" t="s">
        <v>1589</v>
      </c>
      <c r="C16" s="256"/>
      <c r="D16" s="256"/>
      <c r="E16" s="257"/>
      <c r="F16" s="105">
        <f>SUM(F17:F21)</f>
        <v>58528.52</v>
      </c>
    </row>
    <row r="17" spans="2:7" ht="15" outlineLevel="2">
      <c r="B17" s="42"/>
      <c r="C17" s="82" t="s">
        <v>2143</v>
      </c>
      <c r="D17" s="82" t="s">
        <v>1577</v>
      </c>
      <c r="E17" s="82" t="s">
        <v>2119</v>
      </c>
      <c r="F17" s="106">
        <v>1981.95</v>
      </c>
      <c r="G17" s="14"/>
    </row>
    <row r="18" spans="2:7" ht="16.5" customHeight="1" outlineLevel="2">
      <c r="B18" s="42"/>
      <c r="C18" s="83" t="s">
        <v>126</v>
      </c>
      <c r="D18" s="83" t="s">
        <v>1577</v>
      </c>
      <c r="E18" s="83" t="s">
        <v>1409</v>
      </c>
      <c r="F18" s="106">
        <v>1861.67</v>
      </c>
      <c r="G18" s="14"/>
    </row>
    <row r="19" spans="2:7" ht="15" outlineLevel="2">
      <c r="B19" s="42"/>
      <c r="C19" s="83" t="s">
        <v>1463</v>
      </c>
      <c r="D19" s="83" t="s">
        <v>1578</v>
      </c>
      <c r="E19" s="83" t="s">
        <v>1464</v>
      </c>
      <c r="F19" s="106">
        <v>51014.89</v>
      </c>
      <c r="G19" s="14"/>
    </row>
    <row r="20" spans="2:7" ht="15" outlineLevel="2">
      <c r="B20" s="42"/>
      <c r="C20" s="83" t="s">
        <v>878</v>
      </c>
      <c r="D20" s="83" t="s">
        <v>1579</v>
      </c>
      <c r="E20" s="83" t="s">
        <v>2305</v>
      </c>
      <c r="F20" s="106">
        <v>1228.2</v>
      </c>
      <c r="G20" s="14"/>
    </row>
    <row r="21" spans="2:7" ht="15" outlineLevel="2">
      <c r="B21" s="42"/>
      <c r="C21" s="83" t="s">
        <v>875</v>
      </c>
      <c r="D21" s="83" t="s">
        <v>1582</v>
      </c>
      <c r="E21" s="83" t="s">
        <v>1849</v>
      </c>
      <c r="F21" s="106">
        <v>2441.81</v>
      </c>
      <c r="G21" s="14"/>
    </row>
    <row r="22" spans="2:6" ht="13.5" customHeight="1" outlineLevel="1">
      <c r="B22" s="255" t="s">
        <v>1590</v>
      </c>
      <c r="C22" s="256"/>
      <c r="D22" s="256"/>
      <c r="E22" s="257"/>
      <c r="F22" s="105">
        <f>SUM(F23:F27)</f>
        <v>7639.8099999999995</v>
      </c>
    </row>
    <row r="23" spans="2:7" ht="16.5" customHeight="1" outlineLevel="2">
      <c r="B23" s="42"/>
      <c r="C23" s="87" t="s">
        <v>2314</v>
      </c>
      <c r="D23" s="83" t="s">
        <v>1579</v>
      </c>
      <c r="E23" s="83" t="s">
        <v>2317</v>
      </c>
      <c r="F23" s="106">
        <v>546.37</v>
      </c>
      <c r="G23" s="14"/>
    </row>
    <row r="24" spans="2:7" ht="15" outlineLevel="2">
      <c r="B24" s="42"/>
      <c r="C24" s="87" t="s">
        <v>1708</v>
      </c>
      <c r="D24" s="83" t="s">
        <v>1581</v>
      </c>
      <c r="E24" s="83" t="s">
        <v>2099</v>
      </c>
      <c r="F24" s="106">
        <v>165.27</v>
      </c>
      <c r="G24" s="14"/>
    </row>
    <row r="25" spans="2:7" ht="15" outlineLevel="2">
      <c r="B25" s="42"/>
      <c r="C25" s="87" t="s">
        <v>2</v>
      </c>
      <c r="D25" s="83" t="s">
        <v>57</v>
      </c>
      <c r="E25" s="83" t="s">
        <v>939</v>
      </c>
      <c r="F25" s="106">
        <v>165.51</v>
      </c>
      <c r="G25" s="14"/>
    </row>
    <row r="26" spans="2:7" ht="15" outlineLevel="2">
      <c r="B26" s="42"/>
      <c r="C26" s="87" t="s">
        <v>2</v>
      </c>
      <c r="D26" s="83" t="s">
        <v>1582</v>
      </c>
      <c r="E26" s="83" t="s">
        <v>760</v>
      </c>
      <c r="F26" s="106">
        <v>5292</v>
      </c>
      <c r="G26" s="14"/>
    </row>
    <row r="27" spans="2:7" ht="30" outlineLevel="2">
      <c r="B27" s="42"/>
      <c r="C27" s="87" t="s">
        <v>192</v>
      </c>
      <c r="D27" s="83" t="s">
        <v>1586</v>
      </c>
      <c r="E27" s="83" t="s">
        <v>783</v>
      </c>
      <c r="F27" s="106">
        <v>1470.66</v>
      </c>
      <c r="G27" s="14"/>
    </row>
    <row r="28" spans="2:6" ht="14.25" customHeight="1" outlineLevel="1">
      <c r="B28" s="255" t="s">
        <v>1591</v>
      </c>
      <c r="C28" s="256"/>
      <c r="D28" s="256"/>
      <c r="E28" s="257"/>
      <c r="F28" s="105">
        <f>SUM(F29:F38)</f>
        <v>15244.5</v>
      </c>
    </row>
    <row r="29" spans="2:7" ht="15" outlineLevel="2">
      <c r="B29" s="42"/>
      <c r="C29" s="88" t="s">
        <v>871</v>
      </c>
      <c r="D29" s="82" t="s">
        <v>1577</v>
      </c>
      <c r="E29" s="82" t="s">
        <v>2101</v>
      </c>
      <c r="F29" s="106">
        <v>3873.89</v>
      </c>
      <c r="G29" s="14"/>
    </row>
    <row r="30" spans="2:7" ht="15" outlineLevel="2">
      <c r="B30" s="42"/>
      <c r="C30" s="87" t="s">
        <v>130</v>
      </c>
      <c r="D30" s="83" t="s">
        <v>1578</v>
      </c>
      <c r="E30" s="83" t="s">
        <v>1871</v>
      </c>
      <c r="F30" s="106">
        <v>716.6</v>
      </c>
      <c r="G30" s="14"/>
    </row>
    <row r="31" spans="2:7" ht="15" outlineLevel="2">
      <c r="B31" s="42"/>
      <c r="C31" s="87" t="s">
        <v>2180</v>
      </c>
      <c r="D31" s="83" t="s">
        <v>1578</v>
      </c>
      <c r="E31" s="83" t="s">
        <v>2230</v>
      </c>
      <c r="F31" s="106">
        <v>129.28</v>
      </c>
      <c r="G31" s="14"/>
    </row>
    <row r="32" spans="2:7" ht="15" outlineLevel="2">
      <c r="B32" s="42"/>
      <c r="C32" s="87" t="s">
        <v>1064</v>
      </c>
      <c r="D32" s="83" t="s">
        <v>1579</v>
      </c>
      <c r="E32" s="83" t="s">
        <v>606</v>
      </c>
      <c r="F32" s="106">
        <v>3328.57</v>
      </c>
      <c r="G32" s="14"/>
    </row>
    <row r="33" spans="2:7" ht="15" outlineLevel="2">
      <c r="B33" s="42"/>
      <c r="C33" s="87" t="s">
        <v>879</v>
      </c>
      <c r="D33" s="83" t="s">
        <v>1580</v>
      </c>
      <c r="E33" s="83" t="s">
        <v>319</v>
      </c>
      <c r="F33" s="106">
        <v>356.8</v>
      </c>
      <c r="G33" s="14"/>
    </row>
    <row r="34" spans="2:7" ht="15" outlineLevel="2">
      <c r="B34" s="42"/>
      <c r="C34" s="87" t="s">
        <v>184</v>
      </c>
      <c r="D34" s="83" t="s">
        <v>1580</v>
      </c>
      <c r="E34" s="83" t="s">
        <v>319</v>
      </c>
      <c r="F34" s="106">
        <v>2245</v>
      </c>
      <c r="G34" s="14"/>
    </row>
    <row r="35" spans="2:7" ht="15" outlineLevel="2">
      <c r="B35" s="42"/>
      <c r="C35" s="87" t="s">
        <v>1707</v>
      </c>
      <c r="D35" s="83" t="s">
        <v>1581</v>
      </c>
      <c r="E35" s="83" t="s">
        <v>288</v>
      </c>
      <c r="F35" s="106">
        <v>921.43</v>
      </c>
      <c r="G35" s="14"/>
    </row>
    <row r="36" spans="2:7" ht="15" outlineLevel="2">
      <c r="B36" s="42"/>
      <c r="C36" s="87" t="s">
        <v>102</v>
      </c>
      <c r="D36" s="83" t="s">
        <v>1582</v>
      </c>
      <c r="E36" s="83" t="s">
        <v>1086</v>
      </c>
      <c r="F36" s="106">
        <v>2304.77</v>
      </c>
      <c r="G36" s="14"/>
    </row>
    <row r="37" spans="2:7" ht="15" outlineLevel="2">
      <c r="B37" s="42"/>
      <c r="C37" s="87" t="s">
        <v>1251</v>
      </c>
      <c r="D37" s="83" t="s">
        <v>1581</v>
      </c>
      <c r="E37" s="83" t="s">
        <v>451</v>
      </c>
      <c r="F37" s="106">
        <v>612.16</v>
      </c>
      <c r="G37" s="14"/>
    </row>
    <row r="38" spans="2:7" ht="15" outlineLevel="2">
      <c r="B38" s="42"/>
      <c r="C38" s="87" t="s">
        <v>366</v>
      </c>
      <c r="D38" s="83" t="s">
        <v>1587</v>
      </c>
      <c r="E38" s="83" t="s">
        <v>367</v>
      </c>
      <c r="F38" s="106">
        <v>756</v>
      </c>
      <c r="G38" s="14"/>
    </row>
    <row r="39" spans="2:6" ht="12" customHeight="1" outlineLevel="1">
      <c r="B39" s="255" t="s">
        <v>1594</v>
      </c>
      <c r="C39" s="256"/>
      <c r="D39" s="256"/>
      <c r="E39" s="257"/>
      <c r="F39" s="105">
        <f>SUM(F40:F40)</f>
        <v>1166.7</v>
      </c>
    </row>
    <row r="40" spans="2:7" ht="15" outlineLevel="2">
      <c r="B40" s="42"/>
      <c r="C40" s="87" t="s">
        <v>1039</v>
      </c>
      <c r="D40" s="83" t="s">
        <v>1582</v>
      </c>
      <c r="E40" s="83" t="s">
        <v>1042</v>
      </c>
      <c r="F40" s="106">
        <v>1166.7</v>
      </c>
      <c r="G40" s="14"/>
    </row>
    <row r="41" spans="2:6" ht="12" customHeight="1" outlineLevel="1">
      <c r="B41" s="255" t="s">
        <v>1599</v>
      </c>
      <c r="C41" s="256"/>
      <c r="D41" s="256"/>
      <c r="E41" s="257"/>
      <c r="F41" s="105">
        <f>SUM(F42:F46)</f>
        <v>10399.009999999998</v>
      </c>
    </row>
    <row r="42" spans="2:7" ht="15" outlineLevel="2">
      <c r="B42" s="42"/>
      <c r="C42" s="83" t="s">
        <v>17</v>
      </c>
      <c r="D42" s="83" t="s">
        <v>1579</v>
      </c>
      <c r="E42" s="83" t="s">
        <v>2355</v>
      </c>
      <c r="F42" s="106">
        <v>58</v>
      </c>
      <c r="G42" s="14"/>
    </row>
    <row r="43" spans="2:7" ht="15" outlineLevel="2">
      <c r="B43" s="42"/>
      <c r="C43" s="83" t="s">
        <v>881</v>
      </c>
      <c r="D43" s="83" t="s">
        <v>1580</v>
      </c>
      <c r="E43" s="83" t="s">
        <v>2374</v>
      </c>
      <c r="F43" s="106">
        <v>227.63</v>
      </c>
      <c r="G43" s="14"/>
    </row>
    <row r="44" spans="2:7" ht="15" outlineLevel="2">
      <c r="B44" s="42"/>
      <c r="C44" s="83" t="s">
        <v>95</v>
      </c>
      <c r="D44" s="83" t="s">
        <v>1580</v>
      </c>
      <c r="E44" s="83" t="s">
        <v>1082</v>
      </c>
      <c r="F44" s="106">
        <v>3979.37</v>
      </c>
      <c r="G44" s="14"/>
    </row>
    <row r="45" spans="2:7" ht="15" outlineLevel="2">
      <c r="B45" s="42"/>
      <c r="C45" s="83" t="s">
        <v>1260</v>
      </c>
      <c r="D45" s="83" t="s">
        <v>1583</v>
      </c>
      <c r="E45" s="83" t="s">
        <v>948</v>
      </c>
      <c r="F45" s="106">
        <v>4142.53</v>
      </c>
      <c r="G45" s="14"/>
    </row>
    <row r="46" spans="2:7" ht="15" outlineLevel="2">
      <c r="B46" s="42"/>
      <c r="C46" s="83" t="s">
        <v>2493</v>
      </c>
      <c r="D46" s="83" t="s">
        <v>1583</v>
      </c>
      <c r="E46" s="83" t="s">
        <v>2495</v>
      </c>
      <c r="F46" s="106">
        <v>1991.48</v>
      </c>
      <c r="G46" s="14"/>
    </row>
    <row r="47" spans="2:6" ht="12" customHeight="1" outlineLevel="1" collapsed="1">
      <c r="B47" s="255" t="s">
        <v>1713</v>
      </c>
      <c r="C47" s="256"/>
      <c r="D47" s="256"/>
      <c r="E47" s="257"/>
      <c r="F47" s="105">
        <f>SUM(F48:F59)</f>
        <v>157711.03900000002</v>
      </c>
    </row>
    <row r="48" spans="2:7" ht="15" hidden="1" outlineLevel="2">
      <c r="B48" s="42"/>
      <c r="C48" s="82"/>
      <c r="D48" s="82" t="s">
        <v>1577</v>
      </c>
      <c r="E48" s="82" t="s">
        <v>1496</v>
      </c>
      <c r="F48" s="106">
        <v>13378.37</v>
      </c>
      <c r="G48" s="14"/>
    </row>
    <row r="49" spans="2:7" ht="15" hidden="1" outlineLevel="2">
      <c r="B49" s="42"/>
      <c r="C49" s="83"/>
      <c r="D49" s="83" t="s">
        <v>1578</v>
      </c>
      <c r="E49" s="83" t="s">
        <v>1496</v>
      </c>
      <c r="F49" s="106">
        <v>13378.37</v>
      </c>
      <c r="G49" s="14"/>
    </row>
    <row r="50" spans="2:7" ht="15" hidden="1" outlineLevel="2">
      <c r="B50" s="42"/>
      <c r="C50" s="83"/>
      <c r="D50" s="83" t="s">
        <v>1579</v>
      </c>
      <c r="E50" s="83" t="s">
        <v>1496</v>
      </c>
      <c r="F50" s="106">
        <v>13378.37</v>
      </c>
      <c r="G50" s="14"/>
    </row>
    <row r="51" spans="2:7" ht="15" hidden="1" outlineLevel="2">
      <c r="B51" s="42"/>
      <c r="C51" s="83"/>
      <c r="D51" s="83" t="s">
        <v>1580</v>
      </c>
      <c r="E51" s="83" t="s">
        <v>1496</v>
      </c>
      <c r="F51" s="106">
        <v>13378.37</v>
      </c>
      <c r="G51" s="14"/>
    </row>
    <row r="52" spans="2:7" ht="15" hidden="1" outlineLevel="2">
      <c r="B52" s="42"/>
      <c r="C52" s="83"/>
      <c r="D52" s="83" t="s">
        <v>1581</v>
      </c>
      <c r="E52" s="83" t="s">
        <v>1496</v>
      </c>
      <c r="F52" s="106">
        <v>12812.49</v>
      </c>
      <c r="G52" s="14"/>
    </row>
    <row r="53" spans="2:7" ht="15" hidden="1" outlineLevel="2">
      <c r="B53" s="42"/>
      <c r="C53" s="83"/>
      <c r="D53" s="83" t="s">
        <v>1582</v>
      </c>
      <c r="E53" s="83" t="s">
        <v>1496</v>
      </c>
      <c r="F53" s="106">
        <v>12812.49</v>
      </c>
      <c r="G53" s="14"/>
    </row>
    <row r="54" spans="2:7" ht="15" hidden="1" outlineLevel="2">
      <c r="B54" s="42"/>
      <c r="C54" s="83"/>
      <c r="D54" s="83" t="s">
        <v>1583</v>
      </c>
      <c r="E54" s="83" t="s">
        <v>1496</v>
      </c>
      <c r="F54" s="106">
        <f>'[4]Июль'!$Z$16</f>
        <v>12812.488999999998</v>
      </c>
      <c r="G54" s="14"/>
    </row>
    <row r="55" spans="2:7" ht="15" hidden="1" outlineLevel="2">
      <c r="B55" s="42"/>
      <c r="C55" s="83"/>
      <c r="D55" s="83" t="s">
        <v>1584</v>
      </c>
      <c r="E55" s="83" t="s">
        <v>1496</v>
      </c>
      <c r="F55" s="106">
        <f>12812.49</f>
        <v>12812.49</v>
      </c>
      <c r="G55" s="14"/>
    </row>
    <row r="56" spans="2:7" ht="15" hidden="1" outlineLevel="2">
      <c r="B56" s="42"/>
      <c r="C56" s="83"/>
      <c r="D56" s="83" t="s">
        <v>1585</v>
      </c>
      <c r="E56" s="83" t="s">
        <v>1496</v>
      </c>
      <c r="F56" s="106">
        <v>12812.49</v>
      </c>
      <c r="G56" s="14"/>
    </row>
    <row r="57" spans="2:7" ht="15" hidden="1" outlineLevel="2">
      <c r="B57" s="42"/>
      <c r="C57" s="83"/>
      <c r="D57" s="83" t="s">
        <v>1586</v>
      </c>
      <c r="E57" s="83" t="s">
        <v>1496</v>
      </c>
      <c r="F57" s="106">
        <v>13378.37</v>
      </c>
      <c r="G57" s="14"/>
    </row>
    <row r="58" spans="2:7" ht="15" hidden="1" outlineLevel="2">
      <c r="B58" s="42"/>
      <c r="C58" s="83"/>
      <c r="D58" s="83" t="s">
        <v>1587</v>
      </c>
      <c r="E58" s="83" t="s">
        <v>1496</v>
      </c>
      <c r="F58" s="106">
        <v>13378.37</v>
      </c>
      <c r="G58" s="14"/>
    </row>
    <row r="59" spans="2:7" ht="15" hidden="1" outlineLevel="2">
      <c r="B59" s="42"/>
      <c r="C59" s="89"/>
      <c r="D59" s="83" t="s">
        <v>1588</v>
      </c>
      <c r="E59" s="107" t="s">
        <v>1496</v>
      </c>
      <c r="F59" s="106">
        <v>13378.37</v>
      </c>
      <c r="G59" s="14"/>
    </row>
    <row r="60" spans="2:6" ht="13.5" customHeight="1" outlineLevel="1">
      <c r="B60" s="255" t="s">
        <v>1714</v>
      </c>
      <c r="C60" s="256"/>
      <c r="D60" s="256"/>
      <c r="E60" s="257"/>
      <c r="F60" s="105">
        <f>1.46*3779.2*12</f>
        <v>66211.584</v>
      </c>
    </row>
    <row r="61" spans="2:6" ht="12.75" customHeight="1" outlineLevel="1">
      <c r="B61" s="255" t="s">
        <v>1715</v>
      </c>
      <c r="C61" s="256"/>
      <c r="D61" s="256"/>
      <c r="E61" s="257"/>
      <c r="F61" s="105">
        <f>F62+F63</f>
        <v>644.02</v>
      </c>
    </row>
    <row r="62" spans="2:7" ht="15" outlineLevel="2">
      <c r="B62" s="42"/>
      <c r="C62" s="83" t="s">
        <v>2</v>
      </c>
      <c r="D62" s="83" t="s">
        <v>1579</v>
      </c>
      <c r="E62" s="83" t="s">
        <v>2269</v>
      </c>
      <c r="F62" s="106">
        <v>65.94</v>
      </c>
      <c r="G62" s="14"/>
    </row>
    <row r="63" spans="2:7" ht="15" outlineLevel="2">
      <c r="B63" s="42"/>
      <c r="C63" s="83" t="s">
        <v>139</v>
      </c>
      <c r="D63" s="83" t="s">
        <v>1580</v>
      </c>
      <c r="E63" s="83" t="s">
        <v>2233</v>
      </c>
      <c r="F63" s="106">
        <v>578.08</v>
      </c>
      <c r="G63" s="14"/>
    </row>
    <row r="64" spans="2:6" ht="12.75" customHeight="1" outlineLevel="1">
      <c r="B64" s="255" t="s">
        <v>1717</v>
      </c>
      <c r="C64" s="256"/>
      <c r="D64" s="256"/>
      <c r="E64" s="257"/>
      <c r="F64" s="105">
        <f>F65+F66</f>
        <v>626.22</v>
      </c>
    </row>
    <row r="65" spans="2:7" ht="15" outlineLevel="2">
      <c r="B65" s="42"/>
      <c r="C65" s="82" t="s">
        <v>1267</v>
      </c>
      <c r="D65" s="82" t="s">
        <v>1577</v>
      </c>
      <c r="E65" s="82" t="s">
        <v>1495</v>
      </c>
      <c r="F65" s="106">
        <v>318.24</v>
      </c>
      <c r="G65" s="14"/>
    </row>
    <row r="66" spans="2:7" ht="15" outlineLevel="2">
      <c r="B66" s="42"/>
      <c r="C66" s="83" t="s">
        <v>2</v>
      </c>
      <c r="D66" s="83" t="s">
        <v>1581</v>
      </c>
      <c r="E66" s="83" t="s">
        <v>943</v>
      </c>
      <c r="F66" s="106">
        <v>307.98</v>
      </c>
      <c r="G66" s="14"/>
    </row>
    <row r="67" spans="2:6" ht="14.25" customHeight="1" outlineLevel="1">
      <c r="B67" s="255" t="s">
        <v>1595</v>
      </c>
      <c r="C67" s="256"/>
      <c r="D67" s="256"/>
      <c r="E67" s="257"/>
      <c r="F67" s="105">
        <f>F68+F69+F70</f>
        <v>3542.94</v>
      </c>
    </row>
    <row r="68" spans="2:7" ht="13.5" customHeight="1" outlineLevel="2">
      <c r="B68" s="42"/>
      <c r="C68" s="83" t="s">
        <v>1061</v>
      </c>
      <c r="D68" s="83" t="s">
        <v>1578</v>
      </c>
      <c r="E68" s="83" t="s">
        <v>2029</v>
      </c>
      <c r="F68" s="106">
        <v>2492.44</v>
      </c>
      <c r="G68" s="14"/>
    </row>
    <row r="69" spans="2:7" ht="15" outlineLevel="2">
      <c r="B69" s="42"/>
      <c r="C69" s="83" t="s">
        <v>1244</v>
      </c>
      <c r="D69" s="83" t="s">
        <v>1580</v>
      </c>
      <c r="E69" s="83" t="s">
        <v>682</v>
      </c>
      <c r="F69" s="106">
        <v>410.5</v>
      </c>
      <c r="G69" s="14"/>
    </row>
    <row r="70" spans="2:7" ht="15" outlineLevel="2">
      <c r="B70" s="42"/>
      <c r="C70" s="83" t="s">
        <v>1172</v>
      </c>
      <c r="D70" s="83" t="s">
        <v>1583</v>
      </c>
      <c r="E70" s="83" t="s">
        <v>1173</v>
      </c>
      <c r="F70" s="106">
        <v>640</v>
      </c>
      <c r="G70" s="14"/>
    </row>
    <row r="71" spans="2:6" ht="12" customHeight="1" outlineLevel="1">
      <c r="B71" s="255" t="s">
        <v>1718</v>
      </c>
      <c r="C71" s="256"/>
      <c r="D71" s="256"/>
      <c r="E71" s="257"/>
      <c r="F71" s="105">
        <v>3985.85</v>
      </c>
    </row>
    <row r="72" spans="2:7" ht="15" outlineLevel="2">
      <c r="B72" s="42"/>
      <c r="C72" s="82" t="s">
        <v>2</v>
      </c>
      <c r="D72" s="82" t="s">
        <v>1577</v>
      </c>
      <c r="E72" s="82" t="s">
        <v>1897</v>
      </c>
      <c r="F72" s="106">
        <v>1945.98</v>
      </c>
      <c r="G72" s="14"/>
    </row>
    <row r="73" spans="2:7" ht="15" outlineLevel="2">
      <c r="B73" s="42"/>
      <c r="C73" s="83" t="s">
        <v>2</v>
      </c>
      <c r="D73" s="83" t="s">
        <v>1581</v>
      </c>
      <c r="E73" s="83" t="s">
        <v>2390</v>
      </c>
      <c r="F73" s="106">
        <v>1905.47</v>
      </c>
      <c r="G73" s="14"/>
    </row>
    <row r="74" spans="2:7" ht="15" outlineLevel="2">
      <c r="B74" s="42"/>
      <c r="C74" s="84" t="s">
        <v>2</v>
      </c>
      <c r="D74" s="84" t="s">
        <v>57</v>
      </c>
      <c r="E74" s="84" t="s">
        <v>936</v>
      </c>
      <c r="F74" s="106">
        <v>134.4</v>
      </c>
      <c r="G74" s="14"/>
    </row>
    <row r="75" spans="2:7" ht="15" customHeight="1" outlineLevel="2">
      <c r="B75" s="255" t="s">
        <v>0</v>
      </c>
      <c r="C75" s="256"/>
      <c r="D75" s="256"/>
      <c r="E75" s="257"/>
      <c r="F75" s="105">
        <f>0.1*3779.2*12</f>
        <v>4535.04</v>
      </c>
      <c r="G75" s="14"/>
    </row>
    <row r="76" spans="1:7" ht="14.25" customHeight="1">
      <c r="A76" s="7"/>
      <c r="B76" s="255" t="s">
        <v>1369</v>
      </c>
      <c r="C76" s="256"/>
      <c r="D76" s="256"/>
      <c r="E76" s="257"/>
      <c r="F76" s="105">
        <v>3166.66</v>
      </c>
      <c r="G76" s="14"/>
    </row>
    <row r="77" spans="2:7" ht="15">
      <c r="B77" s="42"/>
      <c r="C77" s="273" t="s">
        <v>255</v>
      </c>
      <c r="D77" s="273"/>
      <c r="E77" s="273"/>
      <c r="F77" s="43">
        <f>0.94*3779.2*12</f>
        <v>42629.37599999999</v>
      </c>
      <c r="G77" s="26"/>
    </row>
    <row r="78" spans="2:7" ht="12.75" customHeight="1">
      <c r="B78" s="42"/>
      <c r="C78" s="270" t="s">
        <v>59</v>
      </c>
      <c r="D78" s="270"/>
      <c r="E78" s="270"/>
      <c r="F78" s="43">
        <f>1.57*3779.2*12</f>
        <v>71200.128</v>
      </c>
      <c r="G78" s="14"/>
    </row>
    <row r="79" spans="2:7" ht="15">
      <c r="B79" s="42"/>
      <c r="C79" s="270" t="s">
        <v>256</v>
      </c>
      <c r="D79" s="270"/>
      <c r="E79" s="270"/>
      <c r="F79" s="43">
        <f>10.3*(F81+F82)/100</f>
        <v>100624.41006000001</v>
      </c>
      <c r="G79" s="14"/>
    </row>
    <row r="80" spans="2:6" ht="15">
      <c r="B80" s="42">
        <v>1</v>
      </c>
      <c r="C80" s="272" t="s">
        <v>659</v>
      </c>
      <c r="D80" s="272"/>
      <c r="E80" s="272"/>
      <c r="F80" s="44">
        <f>F79+F78+F77+F8+F3</f>
        <v>558596.9470599999</v>
      </c>
    </row>
    <row r="81" spans="2:7" ht="15">
      <c r="B81" s="42">
        <v>2</v>
      </c>
      <c r="C81" s="270" t="s">
        <v>258</v>
      </c>
      <c r="D81" s="270"/>
      <c r="E81" s="270"/>
      <c r="F81" s="43">
        <v>858294.9</v>
      </c>
      <c r="G81" s="14"/>
    </row>
    <row r="82" spans="2:6" ht="15">
      <c r="B82" s="42">
        <v>3</v>
      </c>
      <c r="C82" s="270" t="s">
        <v>259</v>
      </c>
      <c r="D82" s="270"/>
      <c r="E82" s="270"/>
      <c r="F82" s="43">
        <v>118641.12</v>
      </c>
    </row>
    <row r="83" spans="2:6" ht="15">
      <c r="B83" s="42">
        <v>4</v>
      </c>
      <c r="C83" s="270" t="s">
        <v>660</v>
      </c>
      <c r="D83" s="270"/>
      <c r="E83" s="270"/>
      <c r="F83" s="43">
        <v>2621150.98</v>
      </c>
    </row>
    <row r="84" spans="2:6" ht="15">
      <c r="B84" s="42">
        <v>5</v>
      </c>
      <c r="C84" s="270" t="s">
        <v>2340</v>
      </c>
      <c r="D84" s="270"/>
      <c r="E84" s="270"/>
      <c r="F84" s="43">
        <v>2139885.53</v>
      </c>
    </row>
    <row r="85" spans="2:6" ht="15">
      <c r="B85" s="42">
        <v>6</v>
      </c>
      <c r="C85" s="272" t="s">
        <v>2341</v>
      </c>
      <c r="D85" s="272"/>
      <c r="E85" s="272"/>
      <c r="F85" s="44">
        <f>'[5]Комсомольский 9'!$E$107+F80</f>
        <v>2375451.39706</v>
      </c>
    </row>
    <row r="86" spans="2:6" ht="15">
      <c r="B86" s="42">
        <v>7</v>
      </c>
      <c r="C86" s="270" t="s">
        <v>732</v>
      </c>
      <c r="D86" s="270"/>
      <c r="E86" s="270"/>
      <c r="F86" s="43">
        <v>365085.1</v>
      </c>
    </row>
    <row r="87" spans="2:6" ht="15">
      <c r="B87" s="42">
        <v>8</v>
      </c>
      <c r="C87" s="270" t="s">
        <v>733</v>
      </c>
      <c r="D87" s="270"/>
      <c r="E87" s="270"/>
      <c r="F87" s="43">
        <v>298037.3</v>
      </c>
    </row>
    <row r="88" spans="2:6" ht="15">
      <c r="B88" s="42">
        <v>9</v>
      </c>
      <c r="C88" s="272" t="s">
        <v>734</v>
      </c>
      <c r="D88" s="272"/>
      <c r="E88" s="272"/>
      <c r="F88" s="44">
        <v>0</v>
      </c>
    </row>
    <row r="89" spans="2:6" ht="15">
      <c r="B89" s="42">
        <v>10</v>
      </c>
      <c r="C89" s="270" t="s">
        <v>260</v>
      </c>
      <c r="D89" s="270"/>
      <c r="E89" s="270"/>
      <c r="F89" s="43">
        <v>710319.23</v>
      </c>
    </row>
    <row r="90" spans="2:6" ht="15">
      <c r="B90" s="42">
        <v>11</v>
      </c>
      <c r="C90" s="270" t="s">
        <v>735</v>
      </c>
      <c r="D90" s="270"/>
      <c r="E90" s="270"/>
      <c r="F90" s="43">
        <v>98186.61</v>
      </c>
    </row>
    <row r="91" spans="2:6" ht="15">
      <c r="B91" s="42">
        <v>12</v>
      </c>
      <c r="C91" s="272" t="s">
        <v>736</v>
      </c>
      <c r="D91" s="272"/>
      <c r="E91" s="272"/>
      <c r="F91" s="44">
        <v>0</v>
      </c>
    </row>
    <row r="92" spans="2:6" ht="17.25" customHeight="1">
      <c r="B92" s="42">
        <v>13</v>
      </c>
      <c r="C92" s="271" t="s">
        <v>737</v>
      </c>
      <c r="D92" s="271"/>
      <c r="E92" s="271"/>
      <c r="F92" s="45">
        <f>F83-F85</f>
        <v>245699.5829400001</v>
      </c>
    </row>
    <row r="93" spans="2:6" ht="15.75" customHeight="1">
      <c r="B93" s="42">
        <v>14</v>
      </c>
      <c r="C93" s="271" t="s">
        <v>738</v>
      </c>
      <c r="D93" s="271"/>
      <c r="E93" s="271"/>
      <c r="F93" s="45">
        <f>F86-F88</f>
        <v>365085.1</v>
      </c>
    </row>
    <row r="94" spans="2:6" ht="27.75" customHeight="1">
      <c r="B94" s="42">
        <v>15</v>
      </c>
      <c r="C94" s="271" t="s">
        <v>2273</v>
      </c>
      <c r="D94" s="271"/>
      <c r="E94" s="271"/>
      <c r="F94" s="45">
        <f>F84-F85</f>
        <v>-235565.86706000008</v>
      </c>
    </row>
    <row r="95" ht="12.75">
      <c r="F95" s="39"/>
    </row>
    <row r="96" spans="2:6" ht="25.5">
      <c r="B96" s="12" t="s">
        <v>492</v>
      </c>
      <c r="F96" s="39"/>
    </row>
    <row r="97" spans="2:6" ht="25.5">
      <c r="B97" s="12" t="s">
        <v>493</v>
      </c>
      <c r="F97" s="39"/>
    </row>
    <row r="98" spans="2:6" ht="51">
      <c r="B98" s="12" t="s">
        <v>494</v>
      </c>
      <c r="F98" s="39"/>
    </row>
    <row r="99" spans="2:6" ht="25.5">
      <c r="B99" s="12" t="s">
        <v>495</v>
      </c>
      <c r="F99" s="39"/>
    </row>
  </sheetData>
  <sheetProtection/>
  <mergeCells count="37">
    <mergeCell ref="B1:F1"/>
    <mergeCell ref="B61:E61"/>
    <mergeCell ref="B64:E64"/>
    <mergeCell ref="B67:E67"/>
    <mergeCell ref="B39:E39"/>
    <mergeCell ref="B41:E41"/>
    <mergeCell ref="B47:E47"/>
    <mergeCell ref="B60:E60"/>
    <mergeCell ref="C3:D3"/>
    <mergeCell ref="C8:D8"/>
    <mergeCell ref="C77:E77"/>
    <mergeCell ref="C78:E78"/>
    <mergeCell ref="B6:E6"/>
    <mergeCell ref="B4:E4"/>
    <mergeCell ref="B9:E9"/>
    <mergeCell ref="B76:E76"/>
    <mergeCell ref="B71:E71"/>
    <mergeCell ref="B75:E75"/>
    <mergeCell ref="C94:E94"/>
    <mergeCell ref="C86:E86"/>
    <mergeCell ref="C87:E87"/>
    <mergeCell ref="C88:E88"/>
    <mergeCell ref="C89:E89"/>
    <mergeCell ref="C92:E92"/>
    <mergeCell ref="C93:E93"/>
    <mergeCell ref="C91:E91"/>
    <mergeCell ref="C90:E90"/>
    <mergeCell ref="C81:E81"/>
    <mergeCell ref="C85:E85"/>
    <mergeCell ref="B16:E16"/>
    <mergeCell ref="B22:E22"/>
    <mergeCell ref="B28:E28"/>
    <mergeCell ref="C80:E80"/>
    <mergeCell ref="C79:E79"/>
    <mergeCell ref="C82:E82"/>
    <mergeCell ref="C84:E84"/>
    <mergeCell ref="C83:E83"/>
  </mergeCells>
  <printOptions/>
  <pageMargins left="0.4" right="0.22" top="0.26" bottom="0.25" header="0.2" footer="0.1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5"/>
  <sheetViews>
    <sheetView zoomScalePageLayoutView="0" workbookViewId="0" topLeftCell="A88">
      <selection activeCell="E110" sqref="A1:E110"/>
    </sheetView>
  </sheetViews>
  <sheetFormatPr defaultColWidth="13.421875" defaultRowHeight="12.75" outlineLevelRow="2"/>
  <cols>
    <col min="1" max="1" width="1.57421875" style="1" customWidth="1"/>
    <col min="2" max="2" width="11.8515625" style="1" customWidth="1"/>
    <col min="3" max="3" width="14.7109375" style="1" customWidth="1"/>
    <col min="4" max="4" width="72.7109375" style="1" customWidth="1"/>
    <col min="5" max="5" width="16.28125" style="1" customWidth="1"/>
    <col min="6" max="6" width="11.421875" style="57" customWidth="1"/>
    <col min="7" max="8" width="11.421875" style="1" customWidth="1"/>
    <col min="9" max="98" width="12.421875" style="1" customWidth="1"/>
    <col min="99" max="16384" width="13.421875" style="1" customWidth="1"/>
  </cols>
  <sheetData>
    <row r="1" spans="1:5" ht="12.75" customHeight="1">
      <c r="A1" s="315" t="s">
        <v>1675</v>
      </c>
      <c r="B1" s="315"/>
      <c r="C1" s="315"/>
      <c r="D1" s="315"/>
      <c r="E1" s="316"/>
    </row>
    <row r="2" spans="1:6" ht="15">
      <c r="A2" s="42"/>
      <c r="B2" s="133" t="s">
        <v>1570</v>
      </c>
      <c r="C2" s="134" t="s">
        <v>1571</v>
      </c>
      <c r="D2" s="113" t="s">
        <v>1572</v>
      </c>
      <c r="E2" s="135" t="s">
        <v>1573</v>
      </c>
      <c r="F2" s="58"/>
    </row>
    <row r="3" spans="1:5" ht="15">
      <c r="A3" s="115"/>
      <c r="B3" s="309"/>
      <c r="C3" s="309"/>
      <c r="D3" s="142" t="s">
        <v>1575</v>
      </c>
      <c r="E3" s="130">
        <f>E11+E9+E6+E4</f>
        <v>169465.43</v>
      </c>
    </row>
    <row r="4" spans="1:5" ht="13.5" customHeight="1" outlineLevel="1">
      <c r="A4" s="255" t="s">
        <v>1576</v>
      </c>
      <c r="B4" s="256"/>
      <c r="C4" s="256"/>
      <c r="D4" s="257"/>
      <c r="E4" s="105">
        <f>SUM(E5:E5)</f>
        <v>81958.32</v>
      </c>
    </row>
    <row r="5" spans="1:5" ht="15" outlineLevel="2">
      <c r="A5" s="81"/>
      <c r="B5" s="84" t="s">
        <v>2395</v>
      </c>
      <c r="C5" s="84" t="s">
        <v>1580</v>
      </c>
      <c r="D5" s="84" t="s">
        <v>2396</v>
      </c>
      <c r="E5" s="106">
        <v>81958.32</v>
      </c>
    </row>
    <row r="6" spans="1:5" ht="13.5" customHeight="1" outlineLevel="1">
      <c r="A6" s="255" t="s">
        <v>1589</v>
      </c>
      <c r="B6" s="256"/>
      <c r="C6" s="256"/>
      <c r="D6" s="257"/>
      <c r="E6" s="105">
        <f>SUM(E7:E8)</f>
        <v>84231.86</v>
      </c>
    </row>
    <row r="7" spans="1:5" ht="30" outlineLevel="2">
      <c r="A7" s="81"/>
      <c r="B7" s="83" t="s">
        <v>1854</v>
      </c>
      <c r="C7" s="83" t="s">
        <v>1579</v>
      </c>
      <c r="D7" s="83" t="s">
        <v>2071</v>
      </c>
      <c r="E7" s="106">
        <v>77388.7</v>
      </c>
    </row>
    <row r="8" spans="1:5" ht="15" outlineLevel="2">
      <c r="A8" s="81"/>
      <c r="B8" s="84" t="s">
        <v>875</v>
      </c>
      <c r="C8" s="84" t="s">
        <v>1582</v>
      </c>
      <c r="D8" s="84" t="s">
        <v>1855</v>
      </c>
      <c r="E8" s="106">
        <v>6843.16</v>
      </c>
    </row>
    <row r="9" spans="1:5" ht="12" customHeight="1" outlineLevel="1">
      <c r="A9" s="255" t="s">
        <v>1595</v>
      </c>
      <c r="B9" s="256"/>
      <c r="C9" s="256"/>
      <c r="D9" s="257"/>
      <c r="E9" s="105">
        <f>SUM(E10:E10)</f>
        <v>1200</v>
      </c>
    </row>
    <row r="10" spans="1:5" ht="15" outlineLevel="2">
      <c r="A10" s="81"/>
      <c r="B10" s="312" t="s">
        <v>282</v>
      </c>
      <c r="C10" s="313"/>
      <c r="D10" s="314"/>
      <c r="E10" s="106">
        <v>1200</v>
      </c>
    </row>
    <row r="11" spans="1:5" ht="11.25" customHeight="1" outlineLevel="1">
      <c r="A11" s="255" t="s">
        <v>1599</v>
      </c>
      <c r="B11" s="256"/>
      <c r="C11" s="256"/>
      <c r="D11" s="257"/>
      <c r="E11" s="105">
        <f>SUM(E12:E12)</f>
        <v>2075.25</v>
      </c>
    </row>
    <row r="12" spans="1:5" ht="15" outlineLevel="2">
      <c r="A12" s="42"/>
      <c r="B12" s="83" t="s">
        <v>105</v>
      </c>
      <c r="C12" s="83" t="s">
        <v>1583</v>
      </c>
      <c r="D12" s="83" t="s">
        <v>1615</v>
      </c>
      <c r="E12" s="106">
        <v>2075.25</v>
      </c>
    </row>
    <row r="13" spans="1:5" ht="13.5" customHeight="1">
      <c r="A13" s="115"/>
      <c r="B13" s="310"/>
      <c r="C13" s="311"/>
      <c r="D13" s="169" t="s">
        <v>1600</v>
      </c>
      <c r="E13" s="130">
        <f>E14+E21+E25+E34+E40+E42+E46+E59+E60+E71+E74+E81+E91+E92</f>
        <v>377098.1919999999</v>
      </c>
    </row>
    <row r="14" spans="1:5" ht="14.25" customHeight="1" outlineLevel="1">
      <c r="A14" s="255" t="s">
        <v>1576</v>
      </c>
      <c r="B14" s="256"/>
      <c r="C14" s="256"/>
      <c r="D14" s="257"/>
      <c r="E14" s="105">
        <f>SUM(E15:E20)</f>
        <v>3983.34</v>
      </c>
    </row>
    <row r="15" spans="1:5" ht="28.5" customHeight="1" outlineLevel="2">
      <c r="A15" s="42"/>
      <c r="B15" s="82" t="s">
        <v>2225</v>
      </c>
      <c r="C15" s="82" t="s">
        <v>1577</v>
      </c>
      <c r="D15" s="82" t="s">
        <v>2121</v>
      </c>
      <c r="E15" s="106">
        <v>228.4</v>
      </c>
    </row>
    <row r="16" spans="1:5" ht="30" outlineLevel="2">
      <c r="A16" s="42"/>
      <c r="B16" s="83" t="s">
        <v>885</v>
      </c>
      <c r="C16" s="83" t="s">
        <v>1578</v>
      </c>
      <c r="D16" s="83" t="s">
        <v>889</v>
      </c>
      <c r="E16" s="106">
        <v>65.1</v>
      </c>
    </row>
    <row r="17" spans="1:5" ht="30" customHeight="1" outlineLevel="2">
      <c r="A17" s="42"/>
      <c r="B17" s="83" t="s">
        <v>508</v>
      </c>
      <c r="C17" s="83" t="s">
        <v>1582</v>
      </c>
      <c r="D17" s="83" t="s">
        <v>509</v>
      </c>
      <c r="E17" s="106">
        <v>525.43</v>
      </c>
    </row>
    <row r="18" spans="1:5" ht="15" outlineLevel="2">
      <c r="A18" s="42"/>
      <c r="B18" s="83" t="s">
        <v>1033</v>
      </c>
      <c r="C18" s="83" t="s">
        <v>1583</v>
      </c>
      <c r="D18" s="83" t="s">
        <v>509</v>
      </c>
      <c r="E18" s="106">
        <v>1076.92</v>
      </c>
    </row>
    <row r="19" spans="1:5" ht="15" outlineLevel="2">
      <c r="A19" s="42"/>
      <c r="B19" s="83" t="s">
        <v>2</v>
      </c>
      <c r="C19" s="83" t="s">
        <v>1583</v>
      </c>
      <c r="D19" s="83" t="s">
        <v>855</v>
      </c>
      <c r="E19" s="106">
        <v>80.15</v>
      </c>
    </row>
    <row r="20" spans="1:5" ht="15" outlineLevel="2">
      <c r="A20" s="42"/>
      <c r="B20" s="83" t="s">
        <v>29</v>
      </c>
      <c r="C20" s="83" t="s">
        <v>1584</v>
      </c>
      <c r="D20" s="83" t="s">
        <v>2509</v>
      </c>
      <c r="E20" s="106">
        <v>2007.34</v>
      </c>
    </row>
    <row r="21" spans="1:5" ht="12.75" customHeight="1" outlineLevel="1">
      <c r="A21" s="255" t="s">
        <v>1589</v>
      </c>
      <c r="B21" s="256"/>
      <c r="C21" s="256"/>
      <c r="D21" s="257"/>
      <c r="E21" s="105">
        <f>SUM(E22:E24)</f>
        <v>6921.1900000000005</v>
      </c>
    </row>
    <row r="22" spans="1:5" ht="30" outlineLevel="2">
      <c r="A22" s="42"/>
      <c r="B22" s="83" t="s">
        <v>878</v>
      </c>
      <c r="C22" s="83" t="s">
        <v>1579</v>
      </c>
      <c r="D22" s="83" t="s">
        <v>2304</v>
      </c>
      <c r="E22" s="106">
        <v>986.8</v>
      </c>
    </row>
    <row r="23" spans="1:5" ht="15" outlineLevel="2">
      <c r="A23" s="42"/>
      <c r="B23" s="83" t="s">
        <v>137</v>
      </c>
      <c r="C23" s="83" t="s">
        <v>1580</v>
      </c>
      <c r="D23" s="83" t="s">
        <v>1123</v>
      </c>
      <c r="E23" s="106">
        <v>84.64</v>
      </c>
    </row>
    <row r="24" spans="1:5" ht="15" outlineLevel="2">
      <c r="A24" s="42"/>
      <c r="B24" s="83" t="s">
        <v>1306</v>
      </c>
      <c r="C24" s="83" t="s">
        <v>1583</v>
      </c>
      <c r="D24" s="83" t="s">
        <v>1305</v>
      </c>
      <c r="E24" s="106">
        <v>5849.75</v>
      </c>
    </row>
    <row r="25" spans="1:5" ht="13.5" customHeight="1" outlineLevel="1">
      <c r="A25" s="255" t="s">
        <v>1590</v>
      </c>
      <c r="B25" s="256"/>
      <c r="C25" s="256"/>
      <c r="D25" s="257"/>
      <c r="E25" s="105">
        <f>SUM(E26:E33)</f>
        <v>24349.670000000002</v>
      </c>
    </row>
    <row r="26" spans="1:5" ht="15" outlineLevel="2">
      <c r="A26" s="42"/>
      <c r="B26" s="88" t="s">
        <v>2</v>
      </c>
      <c r="C26" s="82" t="s">
        <v>1577</v>
      </c>
      <c r="D26" s="82" t="s">
        <v>1507</v>
      </c>
      <c r="E26" s="106">
        <v>56.7</v>
      </c>
    </row>
    <row r="27" spans="1:5" ht="15" outlineLevel="2">
      <c r="A27" s="42"/>
      <c r="B27" s="87" t="s">
        <v>836</v>
      </c>
      <c r="C27" s="83" t="s">
        <v>1580</v>
      </c>
      <c r="D27" s="83" t="s">
        <v>1063</v>
      </c>
      <c r="E27" s="106">
        <v>5478.8</v>
      </c>
    </row>
    <row r="28" spans="1:5" ht="15" outlineLevel="2">
      <c r="A28" s="42"/>
      <c r="B28" s="87" t="s">
        <v>26</v>
      </c>
      <c r="C28" s="83" t="s">
        <v>1583</v>
      </c>
      <c r="D28" s="83" t="s">
        <v>1148</v>
      </c>
      <c r="E28" s="106">
        <v>6759.73</v>
      </c>
    </row>
    <row r="29" spans="1:5" ht="15" outlineLevel="2">
      <c r="A29" s="42"/>
      <c r="B29" s="87" t="s">
        <v>1033</v>
      </c>
      <c r="C29" s="83" t="s">
        <v>1584</v>
      </c>
      <c r="D29" s="83" t="s">
        <v>760</v>
      </c>
      <c r="E29" s="106">
        <v>5627.7</v>
      </c>
    </row>
    <row r="30" spans="1:5" ht="15" outlineLevel="2">
      <c r="A30" s="42"/>
      <c r="B30" s="87" t="s">
        <v>331</v>
      </c>
      <c r="C30" s="83" t="s">
        <v>1586</v>
      </c>
      <c r="D30" s="83" t="s">
        <v>348</v>
      </c>
      <c r="E30" s="106">
        <v>1913.19</v>
      </c>
    </row>
    <row r="31" spans="1:5" ht="15" outlineLevel="2">
      <c r="A31" s="42"/>
      <c r="B31" s="87" t="s">
        <v>347</v>
      </c>
      <c r="C31" s="83" t="s">
        <v>1586</v>
      </c>
      <c r="D31" s="83" t="s">
        <v>349</v>
      </c>
      <c r="E31" s="106">
        <v>982.9</v>
      </c>
    </row>
    <row r="32" spans="1:5" ht="22.5" customHeight="1" outlineLevel="2">
      <c r="A32" s="42"/>
      <c r="B32" s="87" t="s">
        <v>192</v>
      </c>
      <c r="C32" s="83" t="s">
        <v>1586</v>
      </c>
      <c r="D32" s="83" t="s">
        <v>783</v>
      </c>
      <c r="E32" s="106">
        <v>1470.65</v>
      </c>
    </row>
    <row r="33" spans="1:5" ht="15" outlineLevel="2">
      <c r="A33" s="42"/>
      <c r="B33" s="87" t="s">
        <v>774</v>
      </c>
      <c r="C33" s="83" t="s">
        <v>1587</v>
      </c>
      <c r="D33" s="83" t="s">
        <v>775</v>
      </c>
      <c r="E33" s="106">
        <v>2060</v>
      </c>
    </row>
    <row r="34" spans="1:5" ht="12.75" customHeight="1" outlineLevel="1">
      <c r="A34" s="255" t="s">
        <v>1591</v>
      </c>
      <c r="B34" s="256"/>
      <c r="C34" s="256"/>
      <c r="D34" s="257"/>
      <c r="E34" s="105">
        <f>SUM(E35:E39)</f>
        <v>11245.66</v>
      </c>
    </row>
    <row r="35" spans="1:5" ht="15" outlineLevel="2">
      <c r="A35" s="42"/>
      <c r="B35" s="87" t="s">
        <v>1707</v>
      </c>
      <c r="C35" s="83" t="s">
        <v>1581</v>
      </c>
      <c r="D35" s="83" t="s">
        <v>289</v>
      </c>
      <c r="E35" s="106">
        <v>463.63</v>
      </c>
    </row>
    <row r="36" spans="1:5" ht="15" outlineLevel="2">
      <c r="A36" s="42"/>
      <c r="B36" s="87" t="s">
        <v>1515</v>
      </c>
      <c r="C36" s="83" t="s">
        <v>1582</v>
      </c>
      <c r="D36" s="83" t="s">
        <v>792</v>
      </c>
      <c r="E36" s="106">
        <v>1361.3</v>
      </c>
    </row>
    <row r="37" spans="1:5" ht="15" outlineLevel="2">
      <c r="A37" s="42"/>
      <c r="B37" s="87" t="s">
        <v>2365</v>
      </c>
      <c r="C37" s="83" t="s">
        <v>1583</v>
      </c>
      <c r="D37" s="83" t="s">
        <v>606</v>
      </c>
      <c r="E37" s="106">
        <v>900.78</v>
      </c>
    </row>
    <row r="38" spans="1:5" ht="30" outlineLevel="2">
      <c r="A38" s="42"/>
      <c r="B38" s="87" t="s">
        <v>1529</v>
      </c>
      <c r="C38" s="83" t="s">
        <v>1585</v>
      </c>
      <c r="D38" s="83" t="s">
        <v>1530</v>
      </c>
      <c r="E38" s="106">
        <v>1979</v>
      </c>
    </row>
    <row r="39" spans="1:5" ht="15" outlineLevel="2">
      <c r="A39" s="42"/>
      <c r="B39" s="87" t="s">
        <v>753</v>
      </c>
      <c r="C39" s="83" t="s">
        <v>1587</v>
      </c>
      <c r="D39" s="83" t="s">
        <v>754</v>
      </c>
      <c r="E39" s="106">
        <v>6540.95</v>
      </c>
    </row>
    <row r="40" spans="1:5" ht="14.25" customHeight="1" outlineLevel="1">
      <c r="A40" s="255" t="s">
        <v>1594</v>
      </c>
      <c r="B40" s="256"/>
      <c r="C40" s="256"/>
      <c r="D40" s="257"/>
      <c r="E40" s="105">
        <f>SUM(E41:E41)</f>
        <v>43238.19</v>
      </c>
    </row>
    <row r="41" spans="1:5" ht="15" outlineLevel="2">
      <c r="A41" s="42"/>
      <c r="B41" s="87" t="s">
        <v>755</v>
      </c>
      <c r="C41" s="83" t="s">
        <v>1587</v>
      </c>
      <c r="D41" s="83" t="s">
        <v>2279</v>
      </c>
      <c r="E41" s="106">
        <v>43238.19</v>
      </c>
    </row>
    <row r="42" spans="1:5" ht="14.25" customHeight="1" outlineLevel="1">
      <c r="A42" s="255" t="s">
        <v>1599</v>
      </c>
      <c r="B42" s="256"/>
      <c r="C42" s="256"/>
      <c r="D42" s="257"/>
      <c r="E42" s="105">
        <f>SUM(E43:E45)</f>
        <v>13604.879999999997</v>
      </c>
    </row>
    <row r="43" spans="1:5" ht="13.5" customHeight="1" outlineLevel="2">
      <c r="A43" s="42"/>
      <c r="B43" s="83" t="s">
        <v>91</v>
      </c>
      <c r="C43" s="83" t="s">
        <v>1579</v>
      </c>
      <c r="D43" s="83" t="s">
        <v>2363</v>
      </c>
      <c r="E43" s="106">
        <v>9738.56</v>
      </c>
    </row>
    <row r="44" spans="1:5" ht="15" outlineLevel="2">
      <c r="A44" s="42"/>
      <c r="B44" s="83" t="s">
        <v>38</v>
      </c>
      <c r="C44" s="83" t="s">
        <v>1582</v>
      </c>
      <c r="D44" s="83" t="s">
        <v>815</v>
      </c>
      <c r="E44" s="106">
        <v>2830.7</v>
      </c>
    </row>
    <row r="45" spans="1:5" ht="15" outlineLevel="2">
      <c r="A45" s="42"/>
      <c r="B45" s="83" t="s">
        <v>1260</v>
      </c>
      <c r="C45" s="83" t="s">
        <v>1583</v>
      </c>
      <c r="D45" s="83" t="s">
        <v>951</v>
      </c>
      <c r="E45" s="106">
        <v>1035.62</v>
      </c>
    </row>
    <row r="46" spans="1:5" ht="12" customHeight="1" outlineLevel="1">
      <c r="A46" s="255" t="s">
        <v>1713</v>
      </c>
      <c r="B46" s="256"/>
      <c r="C46" s="256"/>
      <c r="D46" s="257"/>
      <c r="E46" s="105">
        <f>SUM(E47:E58)</f>
        <v>159245.93</v>
      </c>
    </row>
    <row r="47" spans="1:5" ht="15" outlineLevel="2">
      <c r="A47" s="42"/>
      <c r="B47" s="82"/>
      <c r="C47" s="82" t="s">
        <v>1577</v>
      </c>
      <c r="D47" s="82" t="s">
        <v>1496</v>
      </c>
      <c r="E47" s="106">
        <v>13508.99</v>
      </c>
    </row>
    <row r="48" spans="1:5" ht="15" outlineLevel="2">
      <c r="A48" s="42"/>
      <c r="B48" s="83"/>
      <c r="C48" s="83" t="s">
        <v>1578</v>
      </c>
      <c r="D48" s="83" t="s">
        <v>1496</v>
      </c>
      <c r="E48" s="106">
        <v>13508.99</v>
      </c>
    </row>
    <row r="49" spans="1:5" ht="15" outlineLevel="2">
      <c r="A49" s="42"/>
      <c r="B49" s="83"/>
      <c r="C49" s="83" t="s">
        <v>1579</v>
      </c>
      <c r="D49" s="83" t="s">
        <v>1496</v>
      </c>
      <c r="E49" s="106">
        <v>13508.99</v>
      </c>
    </row>
    <row r="50" spans="1:5" ht="15" outlineLevel="2">
      <c r="A50" s="42"/>
      <c r="B50" s="83"/>
      <c r="C50" s="83" t="s">
        <v>1580</v>
      </c>
      <c r="D50" s="83" t="s">
        <v>1496</v>
      </c>
      <c r="E50" s="106">
        <v>13508.99</v>
      </c>
    </row>
    <row r="51" spans="1:5" ht="15" outlineLevel="2">
      <c r="A51" s="42"/>
      <c r="B51" s="83"/>
      <c r="C51" s="83" t="s">
        <v>1581</v>
      </c>
      <c r="D51" s="83" t="s">
        <v>1496</v>
      </c>
      <c r="E51" s="106">
        <v>12936.6</v>
      </c>
    </row>
    <row r="52" spans="1:5" ht="15" outlineLevel="2">
      <c r="A52" s="42"/>
      <c r="B52" s="83"/>
      <c r="C52" s="83" t="s">
        <v>1582</v>
      </c>
      <c r="D52" s="83" t="s">
        <v>1496</v>
      </c>
      <c r="E52" s="106">
        <v>12936.6</v>
      </c>
    </row>
    <row r="53" spans="1:5" ht="15" outlineLevel="2">
      <c r="A53" s="42"/>
      <c r="B53" s="83"/>
      <c r="C53" s="83" t="s">
        <v>1583</v>
      </c>
      <c r="D53" s="83" t="s">
        <v>1496</v>
      </c>
      <c r="E53" s="106">
        <f>'[4]Июль'!$Z$17</f>
        <v>12936.6</v>
      </c>
    </row>
    <row r="54" spans="1:5" ht="15" outlineLevel="2">
      <c r="A54" s="42"/>
      <c r="B54" s="83"/>
      <c r="C54" s="83" t="s">
        <v>1584</v>
      </c>
      <c r="D54" s="83" t="s">
        <v>1496</v>
      </c>
      <c r="E54" s="106">
        <f>12936.6</f>
        <v>12936.6</v>
      </c>
    </row>
    <row r="55" spans="1:5" ht="15" outlineLevel="2">
      <c r="A55" s="42"/>
      <c r="B55" s="83"/>
      <c r="C55" s="83" t="s">
        <v>1585</v>
      </c>
      <c r="D55" s="83" t="s">
        <v>1496</v>
      </c>
      <c r="E55" s="106">
        <v>12936.6</v>
      </c>
    </row>
    <row r="56" spans="1:5" ht="15" outlineLevel="2">
      <c r="A56" s="42"/>
      <c r="B56" s="83"/>
      <c r="C56" s="83" t="s">
        <v>1586</v>
      </c>
      <c r="D56" s="83" t="s">
        <v>1496</v>
      </c>
      <c r="E56" s="106">
        <v>13508.99</v>
      </c>
    </row>
    <row r="57" spans="1:5" ht="15" outlineLevel="2">
      <c r="A57" s="42"/>
      <c r="B57" s="83"/>
      <c r="C57" s="83" t="s">
        <v>1587</v>
      </c>
      <c r="D57" s="83" t="s">
        <v>1496</v>
      </c>
      <c r="E57" s="106">
        <v>13508.99</v>
      </c>
    </row>
    <row r="58" spans="1:5" ht="15" outlineLevel="2">
      <c r="A58" s="42"/>
      <c r="B58" s="89"/>
      <c r="C58" s="83" t="s">
        <v>1588</v>
      </c>
      <c r="D58" s="107" t="s">
        <v>1496</v>
      </c>
      <c r="E58" s="106">
        <v>13508.99</v>
      </c>
    </row>
    <row r="59" spans="1:5" ht="15" customHeight="1" outlineLevel="1">
      <c r="A59" s="255" t="s">
        <v>1714</v>
      </c>
      <c r="B59" s="256"/>
      <c r="C59" s="256"/>
      <c r="D59" s="257"/>
      <c r="E59" s="105">
        <f>1.46*3816.1*12</f>
        <v>66858.07199999999</v>
      </c>
    </row>
    <row r="60" spans="1:5" ht="12.75" customHeight="1" outlineLevel="1">
      <c r="A60" s="255" t="s">
        <v>1715</v>
      </c>
      <c r="B60" s="256"/>
      <c r="C60" s="256"/>
      <c r="D60" s="257"/>
      <c r="E60" s="105">
        <f>SUM(E61:E70)</f>
        <v>10785.109999999999</v>
      </c>
    </row>
    <row r="61" spans="1:5" ht="15" outlineLevel="2">
      <c r="A61" s="42"/>
      <c r="B61" s="83" t="s">
        <v>87</v>
      </c>
      <c r="C61" s="83" t="s">
        <v>1578</v>
      </c>
      <c r="D61" s="83" t="s">
        <v>88</v>
      </c>
      <c r="E61" s="106">
        <v>1007</v>
      </c>
    </row>
    <row r="62" spans="1:5" ht="15" outlineLevel="2">
      <c r="A62" s="42"/>
      <c r="B62" s="83" t="s">
        <v>2</v>
      </c>
      <c r="C62" s="83" t="s">
        <v>1578</v>
      </c>
      <c r="D62" s="83" t="s">
        <v>1495</v>
      </c>
      <c r="E62" s="106">
        <v>318.24</v>
      </c>
    </row>
    <row r="63" spans="1:5" ht="15" outlineLevel="2">
      <c r="A63" s="42"/>
      <c r="B63" s="83" t="s">
        <v>2</v>
      </c>
      <c r="C63" s="83" t="s">
        <v>1578</v>
      </c>
      <c r="D63" s="83" t="s">
        <v>866</v>
      </c>
      <c r="E63" s="106">
        <v>5035</v>
      </c>
    </row>
    <row r="64" spans="1:5" ht="15" outlineLevel="2">
      <c r="A64" s="42"/>
      <c r="B64" s="83" t="s">
        <v>139</v>
      </c>
      <c r="C64" s="83" t="s">
        <v>1580</v>
      </c>
      <c r="D64" s="83" t="s">
        <v>2233</v>
      </c>
      <c r="E64" s="106">
        <v>578.08</v>
      </c>
    </row>
    <row r="65" spans="1:5" ht="15" outlineLevel="2">
      <c r="A65" s="42"/>
      <c r="B65" s="83" t="s">
        <v>1678</v>
      </c>
      <c r="C65" s="83" t="s">
        <v>1581</v>
      </c>
      <c r="D65" s="83" t="s">
        <v>607</v>
      </c>
      <c r="E65" s="106">
        <v>513.59</v>
      </c>
    </row>
    <row r="66" spans="1:5" ht="15" outlineLevel="2">
      <c r="A66" s="42"/>
      <c r="B66" s="83" t="s">
        <v>270</v>
      </c>
      <c r="C66" s="83" t="s">
        <v>1582</v>
      </c>
      <c r="D66" s="83" t="s">
        <v>1058</v>
      </c>
      <c r="E66" s="106">
        <v>1259</v>
      </c>
    </row>
    <row r="67" spans="1:5" ht="30" outlineLevel="2">
      <c r="A67" s="42"/>
      <c r="B67" s="83" t="s">
        <v>851</v>
      </c>
      <c r="C67" s="83" t="s">
        <v>1582</v>
      </c>
      <c r="D67" s="83" t="s">
        <v>762</v>
      </c>
      <c r="E67" s="106">
        <v>806.32</v>
      </c>
    </row>
    <row r="68" spans="1:5" ht="17.25" customHeight="1" outlineLevel="2">
      <c r="A68" s="42"/>
      <c r="B68" s="83" t="s">
        <v>1033</v>
      </c>
      <c r="C68" s="83" t="s">
        <v>1584</v>
      </c>
      <c r="D68" s="83" t="s">
        <v>762</v>
      </c>
      <c r="E68" s="106">
        <v>621.47</v>
      </c>
    </row>
    <row r="69" spans="1:5" ht="15" outlineLevel="2">
      <c r="A69" s="42"/>
      <c r="B69" s="83" t="s">
        <v>206</v>
      </c>
      <c r="C69" s="83" t="s">
        <v>1587</v>
      </c>
      <c r="D69" s="83" t="s">
        <v>207</v>
      </c>
      <c r="E69" s="106">
        <v>278.3</v>
      </c>
    </row>
    <row r="70" spans="1:5" ht="15" outlineLevel="2">
      <c r="A70" s="42"/>
      <c r="B70" s="83" t="s">
        <v>1958</v>
      </c>
      <c r="C70" s="83" t="s">
        <v>1588</v>
      </c>
      <c r="D70" s="83" t="s">
        <v>1960</v>
      </c>
      <c r="E70" s="106">
        <v>368.11</v>
      </c>
    </row>
    <row r="71" spans="1:5" ht="15.75" customHeight="1" outlineLevel="1">
      <c r="A71" s="255" t="s">
        <v>1716</v>
      </c>
      <c r="B71" s="256"/>
      <c r="C71" s="256"/>
      <c r="D71" s="257"/>
      <c r="E71" s="105">
        <f>SUM(E72:E73)</f>
        <v>5482.75</v>
      </c>
    </row>
    <row r="72" spans="1:5" ht="15" outlineLevel="2">
      <c r="A72" s="42"/>
      <c r="B72" s="82" t="s">
        <v>2</v>
      </c>
      <c r="C72" s="82" t="s">
        <v>1577</v>
      </c>
      <c r="D72" s="82" t="s">
        <v>2276</v>
      </c>
      <c r="E72" s="106">
        <v>45.75</v>
      </c>
    </row>
    <row r="73" spans="1:5" ht="15" outlineLevel="2">
      <c r="A73" s="42"/>
      <c r="B73" s="83" t="s">
        <v>55</v>
      </c>
      <c r="C73" s="83" t="s">
        <v>1584</v>
      </c>
      <c r="D73" s="83" t="s">
        <v>933</v>
      </c>
      <c r="E73" s="106">
        <v>5437</v>
      </c>
    </row>
    <row r="74" spans="1:5" ht="13.5" customHeight="1" outlineLevel="1">
      <c r="A74" s="255" t="s">
        <v>1595</v>
      </c>
      <c r="B74" s="256"/>
      <c r="C74" s="256"/>
      <c r="D74" s="257"/>
      <c r="E74" s="105">
        <f>E75+E76+E77+E78+E80+E79</f>
        <v>12279.93</v>
      </c>
    </row>
    <row r="75" spans="1:5" ht="13.5" customHeight="1" outlineLevel="2">
      <c r="A75" s="42"/>
      <c r="B75" s="82" t="s">
        <v>5</v>
      </c>
      <c r="C75" s="82" t="s">
        <v>1577</v>
      </c>
      <c r="D75" s="82" t="s">
        <v>2198</v>
      </c>
      <c r="E75" s="106">
        <v>248.3</v>
      </c>
    </row>
    <row r="76" spans="1:5" ht="13.5" customHeight="1" outlineLevel="2">
      <c r="A76" s="42"/>
      <c r="B76" s="83" t="s">
        <v>1061</v>
      </c>
      <c r="C76" s="83" t="s">
        <v>1578</v>
      </c>
      <c r="D76" s="83" t="s">
        <v>2028</v>
      </c>
      <c r="E76" s="106">
        <v>48.6</v>
      </c>
    </row>
    <row r="77" spans="1:5" ht="13.5" customHeight="1" outlineLevel="2">
      <c r="A77" s="42"/>
      <c r="B77" s="83" t="s">
        <v>133</v>
      </c>
      <c r="C77" s="83" t="s">
        <v>1579</v>
      </c>
      <c r="D77" s="83" t="s">
        <v>2028</v>
      </c>
      <c r="E77" s="106">
        <v>48.78</v>
      </c>
    </row>
    <row r="78" spans="1:5" ht="13.5" customHeight="1" outlineLevel="2">
      <c r="A78" s="42"/>
      <c r="B78" s="83" t="s">
        <v>43</v>
      </c>
      <c r="C78" s="83" t="s">
        <v>1583</v>
      </c>
      <c r="D78" s="83" t="s">
        <v>1880</v>
      </c>
      <c r="E78" s="106">
        <v>668.32</v>
      </c>
    </row>
    <row r="79" spans="1:5" ht="13.5" customHeight="1" outlineLevel="2">
      <c r="A79" s="42"/>
      <c r="B79" s="83" t="s">
        <v>539</v>
      </c>
      <c r="C79" s="83" t="s">
        <v>1586</v>
      </c>
      <c r="D79" s="83" t="s">
        <v>669</v>
      </c>
      <c r="E79" s="106">
        <v>8469.36</v>
      </c>
    </row>
    <row r="80" spans="1:5" ht="13.5" customHeight="1" outlineLevel="2">
      <c r="A80" s="42"/>
      <c r="B80" s="83" t="s">
        <v>958</v>
      </c>
      <c r="C80" s="83" t="s">
        <v>1588</v>
      </c>
      <c r="D80" s="83" t="s">
        <v>959</v>
      </c>
      <c r="E80" s="106">
        <v>2796.57</v>
      </c>
    </row>
    <row r="81" spans="1:5" ht="12.75" customHeight="1" outlineLevel="1">
      <c r="A81" s="255" t="s">
        <v>1718</v>
      </c>
      <c r="B81" s="256"/>
      <c r="C81" s="256"/>
      <c r="D81" s="257"/>
      <c r="E81" s="105">
        <f>E82+E83+E84+E85+E86+E87+E88+E89+E90</f>
        <v>11357.49</v>
      </c>
    </row>
    <row r="82" spans="1:5" ht="15" outlineLevel="2">
      <c r="A82" s="42"/>
      <c r="B82" s="82" t="s">
        <v>83</v>
      </c>
      <c r="C82" s="82" t="s">
        <v>1577</v>
      </c>
      <c r="D82" s="82" t="s">
        <v>1916</v>
      </c>
      <c r="E82" s="106">
        <v>329.6</v>
      </c>
    </row>
    <row r="83" spans="1:5" ht="15" outlineLevel="2">
      <c r="A83" s="42"/>
      <c r="B83" s="83" t="s">
        <v>1721</v>
      </c>
      <c r="C83" s="83" t="s">
        <v>1577</v>
      </c>
      <c r="D83" s="83" t="s">
        <v>1535</v>
      </c>
      <c r="E83" s="106">
        <v>299.54</v>
      </c>
    </row>
    <row r="84" spans="1:5" ht="15" outlineLevel="2">
      <c r="A84" s="42"/>
      <c r="B84" s="83" t="s">
        <v>2</v>
      </c>
      <c r="C84" s="83" t="s">
        <v>1577</v>
      </c>
      <c r="D84" s="83" t="s">
        <v>1897</v>
      </c>
      <c r="E84" s="106">
        <v>1964.98</v>
      </c>
    </row>
    <row r="85" spans="1:5" ht="15" outlineLevel="2">
      <c r="A85" s="42"/>
      <c r="B85" s="83" t="s">
        <v>2180</v>
      </c>
      <c r="C85" s="83" t="s">
        <v>1578</v>
      </c>
      <c r="D85" s="83" t="s">
        <v>140</v>
      </c>
      <c r="E85" s="106">
        <v>129.3</v>
      </c>
    </row>
    <row r="86" spans="1:5" ht="15" outlineLevel="2">
      <c r="A86" s="42"/>
      <c r="B86" s="83" t="s">
        <v>2</v>
      </c>
      <c r="C86" s="83" t="s">
        <v>57</v>
      </c>
      <c r="D86" s="83" t="s">
        <v>721</v>
      </c>
      <c r="E86" s="106">
        <v>120.73</v>
      </c>
    </row>
    <row r="87" spans="1:5" ht="15" outlineLevel="2">
      <c r="A87" s="42"/>
      <c r="B87" s="83" t="s">
        <v>2</v>
      </c>
      <c r="C87" s="83" t="s">
        <v>1581</v>
      </c>
      <c r="D87" s="83" t="s">
        <v>2390</v>
      </c>
      <c r="E87" s="106">
        <v>1916.98</v>
      </c>
    </row>
    <row r="88" spans="1:5" ht="15" outlineLevel="2">
      <c r="A88" s="42"/>
      <c r="B88" s="83" t="s">
        <v>2</v>
      </c>
      <c r="C88" s="83" t="s">
        <v>57</v>
      </c>
      <c r="D88" s="83" t="s">
        <v>936</v>
      </c>
      <c r="E88" s="106">
        <v>134.4</v>
      </c>
    </row>
    <row r="89" spans="1:5" ht="15" outlineLevel="2">
      <c r="A89" s="42"/>
      <c r="B89" s="83" t="s">
        <v>776</v>
      </c>
      <c r="C89" s="83" t="s">
        <v>1587</v>
      </c>
      <c r="D89" s="83" t="s">
        <v>1124</v>
      </c>
      <c r="E89" s="106">
        <v>565.96</v>
      </c>
    </row>
    <row r="90" spans="1:5" ht="13.5" customHeight="1" outlineLevel="2">
      <c r="A90" s="42"/>
      <c r="B90" s="137" t="s">
        <v>1293</v>
      </c>
      <c r="C90" s="84" t="s">
        <v>1588</v>
      </c>
      <c r="D90" s="138" t="s">
        <v>63</v>
      </c>
      <c r="E90" s="106">
        <v>5896</v>
      </c>
    </row>
    <row r="91" spans="1:5" ht="14.25" customHeight="1" outlineLevel="2">
      <c r="A91" s="255" t="s">
        <v>1369</v>
      </c>
      <c r="B91" s="256"/>
      <c r="C91" s="256"/>
      <c r="D91" s="257"/>
      <c r="E91" s="105">
        <v>3166.66</v>
      </c>
    </row>
    <row r="92" spans="1:5" ht="13.5" customHeight="1">
      <c r="A92" s="255" t="s">
        <v>0</v>
      </c>
      <c r="B92" s="256"/>
      <c r="C92" s="256"/>
      <c r="D92" s="257"/>
      <c r="E92" s="105">
        <f>0.1*3816.1*12</f>
        <v>4579.32</v>
      </c>
    </row>
    <row r="93" spans="1:6" ht="15">
      <c r="A93" s="42"/>
      <c r="B93" s="273" t="s">
        <v>255</v>
      </c>
      <c r="C93" s="273"/>
      <c r="D93" s="273"/>
      <c r="E93" s="43">
        <f>0.94*3816.1*12</f>
        <v>43045.60799999999</v>
      </c>
      <c r="F93" s="67"/>
    </row>
    <row r="94" spans="1:5" ht="15">
      <c r="A94" s="42"/>
      <c r="B94" s="270" t="s">
        <v>59</v>
      </c>
      <c r="C94" s="270"/>
      <c r="D94" s="270"/>
      <c r="E94" s="43">
        <f>1.57*3816.1*12</f>
        <v>71895.324</v>
      </c>
    </row>
    <row r="95" spans="1:5" ht="15">
      <c r="A95" s="42"/>
      <c r="B95" s="270" t="s">
        <v>256</v>
      </c>
      <c r="C95" s="270"/>
      <c r="D95" s="270"/>
      <c r="E95" s="43">
        <f>10.3*(E97+E98)/100</f>
        <v>101173.47216</v>
      </c>
    </row>
    <row r="96" spans="1:6" ht="15">
      <c r="A96" s="42">
        <v>1</v>
      </c>
      <c r="B96" s="272" t="s">
        <v>659</v>
      </c>
      <c r="C96" s="272"/>
      <c r="D96" s="272"/>
      <c r="E96" s="44">
        <f>E95+E94+E93+E13+E3</f>
        <v>762678.0261599999</v>
      </c>
      <c r="F96" s="57">
        <v>1</v>
      </c>
    </row>
    <row r="97" spans="1:6" ht="15">
      <c r="A97" s="42">
        <v>2</v>
      </c>
      <c r="B97" s="270" t="s">
        <v>258</v>
      </c>
      <c r="C97" s="270"/>
      <c r="D97" s="270"/>
      <c r="E97" s="43">
        <v>863204.4</v>
      </c>
      <c r="F97" s="57">
        <v>2</v>
      </c>
    </row>
    <row r="98" spans="1:6" ht="15">
      <c r="A98" s="42">
        <v>3</v>
      </c>
      <c r="B98" s="270" t="s">
        <v>259</v>
      </c>
      <c r="C98" s="270"/>
      <c r="D98" s="270"/>
      <c r="E98" s="43">
        <v>119062.32</v>
      </c>
      <c r="F98" s="57">
        <v>3</v>
      </c>
    </row>
    <row r="99" spans="1:6" ht="15">
      <c r="A99" s="42">
        <v>4</v>
      </c>
      <c r="B99" s="270" t="s">
        <v>660</v>
      </c>
      <c r="C99" s="270"/>
      <c r="D99" s="270"/>
      <c r="E99" s="43">
        <v>2684277.98</v>
      </c>
      <c r="F99" s="57">
        <v>4</v>
      </c>
    </row>
    <row r="100" spans="1:6" ht="15">
      <c r="A100" s="42">
        <v>5</v>
      </c>
      <c r="B100" s="270" t="s">
        <v>2340</v>
      </c>
      <c r="C100" s="270"/>
      <c r="D100" s="270"/>
      <c r="E100" s="43">
        <v>2196630.64</v>
      </c>
      <c r="F100" s="57">
        <v>5</v>
      </c>
    </row>
    <row r="101" spans="1:6" ht="15">
      <c r="A101" s="42">
        <v>6</v>
      </c>
      <c r="B101" s="272" t="s">
        <v>2341</v>
      </c>
      <c r="C101" s="272"/>
      <c r="D101" s="272"/>
      <c r="E101" s="44">
        <f>'[5]Комсомольский 12'!$E$106+E96</f>
        <v>2737277.50616</v>
      </c>
      <c r="F101" s="57">
        <v>6</v>
      </c>
    </row>
    <row r="102" spans="1:6" ht="15">
      <c r="A102" s="42">
        <v>7</v>
      </c>
      <c r="B102" s="270" t="s">
        <v>732</v>
      </c>
      <c r="C102" s="270"/>
      <c r="D102" s="270"/>
      <c r="E102" s="43">
        <v>372613.7</v>
      </c>
      <c r="F102" s="57">
        <v>7</v>
      </c>
    </row>
    <row r="103" spans="1:6" ht="15">
      <c r="A103" s="42">
        <v>8</v>
      </c>
      <c r="B103" s="270" t="s">
        <v>733</v>
      </c>
      <c r="C103" s="270"/>
      <c r="D103" s="270"/>
      <c r="E103" s="43">
        <v>304887.1</v>
      </c>
      <c r="F103" s="57">
        <v>8</v>
      </c>
    </row>
    <row r="104" spans="1:6" ht="15">
      <c r="A104" s="42">
        <v>9</v>
      </c>
      <c r="B104" s="272" t="s">
        <v>734</v>
      </c>
      <c r="C104" s="272"/>
      <c r="D104" s="272"/>
      <c r="E104" s="44">
        <v>0</v>
      </c>
      <c r="F104" s="57">
        <v>9</v>
      </c>
    </row>
    <row r="105" spans="1:6" ht="15">
      <c r="A105" s="42">
        <v>10</v>
      </c>
      <c r="B105" s="270" t="s">
        <v>260</v>
      </c>
      <c r="C105" s="270"/>
      <c r="D105" s="270"/>
      <c r="E105" s="83">
        <v>733041.29</v>
      </c>
      <c r="F105" s="57">
        <v>10</v>
      </c>
    </row>
    <row r="106" spans="1:6" ht="15">
      <c r="A106" s="42">
        <v>11</v>
      </c>
      <c r="B106" s="270" t="s">
        <v>735</v>
      </c>
      <c r="C106" s="270"/>
      <c r="D106" s="270"/>
      <c r="E106" s="83">
        <v>101108.84</v>
      </c>
      <c r="F106" s="57">
        <v>11</v>
      </c>
    </row>
    <row r="107" spans="1:6" ht="15">
      <c r="A107" s="42">
        <v>12</v>
      </c>
      <c r="B107" s="272" t="s">
        <v>736</v>
      </c>
      <c r="C107" s="272"/>
      <c r="D107" s="272"/>
      <c r="E107" s="44">
        <v>0</v>
      </c>
      <c r="F107" s="57">
        <v>12</v>
      </c>
    </row>
    <row r="108" spans="1:6" ht="18" customHeight="1">
      <c r="A108" s="42">
        <v>13</v>
      </c>
      <c r="B108" s="271" t="s">
        <v>2271</v>
      </c>
      <c r="C108" s="271"/>
      <c r="D108" s="271"/>
      <c r="E108" s="45">
        <f>E99-E101</f>
        <v>-52999.52615999989</v>
      </c>
      <c r="F108" s="57">
        <v>13</v>
      </c>
    </row>
    <row r="109" spans="1:6" ht="16.5" customHeight="1">
      <c r="A109" s="42">
        <v>14</v>
      </c>
      <c r="B109" s="271" t="s">
        <v>1844</v>
      </c>
      <c r="C109" s="271"/>
      <c r="D109" s="271"/>
      <c r="E109" s="45">
        <f>E102-E104</f>
        <v>372613.7</v>
      </c>
      <c r="F109" s="57">
        <v>14</v>
      </c>
    </row>
    <row r="110" spans="1:6" ht="28.5" customHeight="1">
      <c r="A110" s="42">
        <v>15</v>
      </c>
      <c r="B110" s="271" t="s">
        <v>1843</v>
      </c>
      <c r="C110" s="271"/>
      <c r="D110" s="271"/>
      <c r="E110" s="45">
        <f>E100-E101</f>
        <v>-540646.8661599997</v>
      </c>
      <c r="F110" s="57">
        <v>15</v>
      </c>
    </row>
    <row r="111" ht="12.75">
      <c r="E111" s="39"/>
    </row>
    <row r="112" spans="1:5" ht="15" customHeight="1">
      <c r="A112" s="12"/>
      <c r="E112" s="39"/>
    </row>
    <row r="113" spans="1:5" ht="12.75" customHeight="1">
      <c r="A113" s="12"/>
      <c r="E113" s="39"/>
    </row>
    <row r="114" spans="1:5" ht="12.75">
      <c r="A114" s="12"/>
      <c r="E114" s="39"/>
    </row>
    <row r="115" spans="1:5" ht="12.75">
      <c r="A115" s="12"/>
      <c r="E115" s="39"/>
    </row>
  </sheetData>
  <sheetProtection/>
  <mergeCells count="40">
    <mergeCell ref="A59:D59"/>
    <mergeCell ref="A60:D60"/>
    <mergeCell ref="A25:D25"/>
    <mergeCell ref="A34:D34"/>
    <mergeCell ref="A40:D40"/>
    <mergeCell ref="A42:D42"/>
    <mergeCell ref="A1:E1"/>
    <mergeCell ref="A6:D6"/>
    <mergeCell ref="A9:D9"/>
    <mergeCell ref="B110:D110"/>
    <mergeCell ref="B102:D102"/>
    <mergeCell ref="B103:D103"/>
    <mergeCell ref="B104:D104"/>
    <mergeCell ref="B105:D105"/>
    <mergeCell ref="B108:D108"/>
    <mergeCell ref="B107:D107"/>
    <mergeCell ref="B99:D99"/>
    <mergeCell ref="B96:D96"/>
    <mergeCell ref="B109:D109"/>
    <mergeCell ref="B97:D97"/>
    <mergeCell ref="B101:D101"/>
    <mergeCell ref="B106:D106"/>
    <mergeCell ref="B98:D98"/>
    <mergeCell ref="B100:D100"/>
    <mergeCell ref="B3:C3"/>
    <mergeCell ref="B13:C13"/>
    <mergeCell ref="B93:D93"/>
    <mergeCell ref="B94:D94"/>
    <mergeCell ref="B10:D10"/>
    <mergeCell ref="A4:D4"/>
    <mergeCell ref="A11:D11"/>
    <mergeCell ref="A14:D14"/>
    <mergeCell ref="A21:D21"/>
    <mergeCell ref="A46:D46"/>
    <mergeCell ref="B95:D95"/>
    <mergeCell ref="A71:D71"/>
    <mergeCell ref="A81:D81"/>
    <mergeCell ref="A91:D91"/>
    <mergeCell ref="A92:D92"/>
    <mergeCell ref="A74:D74"/>
  </mergeCells>
  <printOptions/>
  <pageMargins left="0.35" right="0.25" top="0.22" bottom="0.23" header="0.17" footer="0.17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11"/>
  <sheetViews>
    <sheetView zoomScalePageLayoutView="0" workbookViewId="0" topLeftCell="A82">
      <selection activeCell="D81" sqref="D81:D82"/>
    </sheetView>
  </sheetViews>
  <sheetFormatPr defaultColWidth="13.421875" defaultRowHeight="12.75" outlineLevelRow="2"/>
  <cols>
    <col min="1" max="1" width="2.28125" style="42" customWidth="1"/>
    <col min="2" max="2" width="13.421875" style="42" customWidth="1"/>
    <col min="3" max="3" width="11.8515625" style="42" customWidth="1"/>
    <col min="4" max="4" width="75.57421875" style="42" customWidth="1"/>
    <col min="5" max="5" width="14.57421875" style="42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315" t="s">
        <v>1845</v>
      </c>
      <c r="B1" s="315"/>
      <c r="C1" s="315"/>
      <c r="D1" s="315"/>
      <c r="E1" s="316"/>
    </row>
    <row r="2" spans="1:6" ht="30">
      <c r="A2" s="83"/>
      <c r="B2" s="128" t="s">
        <v>1570</v>
      </c>
      <c r="C2" s="102" t="s">
        <v>1571</v>
      </c>
      <c r="D2" s="103" t="s">
        <v>1572</v>
      </c>
      <c r="E2" s="135" t="s">
        <v>1573</v>
      </c>
      <c r="F2" s="6" t="s">
        <v>1574</v>
      </c>
    </row>
    <row r="3" spans="1:5" ht="15">
      <c r="A3" s="136"/>
      <c r="B3" s="308"/>
      <c r="C3" s="308"/>
      <c r="D3" s="190" t="s">
        <v>1575</v>
      </c>
      <c r="E3" s="130">
        <v>0</v>
      </c>
    </row>
    <row r="4" spans="1:5" ht="13.5" customHeight="1">
      <c r="A4" s="115"/>
      <c r="B4" s="309"/>
      <c r="C4" s="309"/>
      <c r="D4" s="142" t="s">
        <v>1600</v>
      </c>
      <c r="E4" s="130">
        <f>E5+E10+E13+E23+E37+E45+E58+E59+E66+E68+E70+E79+E85+E86</f>
        <v>366625.023</v>
      </c>
    </row>
    <row r="5" spans="1:5" ht="15" outlineLevel="1">
      <c r="A5" s="255" t="s">
        <v>1576</v>
      </c>
      <c r="B5" s="256"/>
      <c r="C5" s="256"/>
      <c r="D5" s="257"/>
      <c r="E5" s="105">
        <f>SUM(E6:E9)</f>
        <v>1676.5200000000002</v>
      </c>
    </row>
    <row r="6" spans="2:6" ht="15" outlineLevel="2">
      <c r="B6" s="83" t="s">
        <v>2</v>
      </c>
      <c r="C6" s="83" t="s">
        <v>1580</v>
      </c>
      <c r="D6" s="83" t="s">
        <v>2277</v>
      </c>
      <c r="E6" s="106">
        <v>59.95</v>
      </c>
      <c r="F6" s="14"/>
    </row>
    <row r="7" spans="2:6" ht="30" customHeight="1" outlineLevel="2">
      <c r="B7" s="83" t="s">
        <v>508</v>
      </c>
      <c r="C7" s="83" t="s">
        <v>1582</v>
      </c>
      <c r="D7" s="83" t="s">
        <v>509</v>
      </c>
      <c r="E7" s="106">
        <v>459.49</v>
      </c>
      <c r="F7" s="14"/>
    </row>
    <row r="8" spans="2:6" ht="15" outlineLevel="2">
      <c r="B8" s="83" t="s">
        <v>1033</v>
      </c>
      <c r="C8" s="83" t="s">
        <v>1583</v>
      </c>
      <c r="D8" s="83" t="s">
        <v>509</v>
      </c>
      <c r="E8" s="106">
        <v>1076.92</v>
      </c>
      <c r="F8" s="14"/>
    </row>
    <row r="9" spans="2:6" ht="15" outlineLevel="2">
      <c r="B9" s="83" t="s">
        <v>2</v>
      </c>
      <c r="C9" s="83" t="s">
        <v>1583</v>
      </c>
      <c r="D9" s="83" t="s">
        <v>855</v>
      </c>
      <c r="E9" s="106">
        <v>80.16</v>
      </c>
      <c r="F9" s="14"/>
    </row>
    <row r="10" spans="1:5" ht="15" outlineLevel="1">
      <c r="A10" s="255" t="s">
        <v>1589</v>
      </c>
      <c r="B10" s="256"/>
      <c r="C10" s="256"/>
      <c r="D10" s="257"/>
      <c r="E10" s="105">
        <f>SUM(E11:E12)</f>
        <v>16468.15</v>
      </c>
    </row>
    <row r="11" spans="2:6" ht="15" outlineLevel="2">
      <c r="B11" s="82" t="s">
        <v>4</v>
      </c>
      <c r="C11" s="82" t="s">
        <v>1577</v>
      </c>
      <c r="D11" s="82" t="s">
        <v>63</v>
      </c>
      <c r="E11" s="106">
        <v>4931.64</v>
      </c>
      <c r="F11" s="14"/>
    </row>
    <row r="12" spans="2:6" ht="15" outlineLevel="2">
      <c r="B12" s="83" t="s">
        <v>33</v>
      </c>
      <c r="C12" s="83" t="s">
        <v>1584</v>
      </c>
      <c r="D12" s="83" t="s">
        <v>2463</v>
      </c>
      <c r="E12" s="106">
        <v>11536.51</v>
      </c>
      <c r="F12" s="14"/>
    </row>
    <row r="13" spans="1:5" ht="14.25" customHeight="1" outlineLevel="1">
      <c r="A13" s="255" t="s">
        <v>1590</v>
      </c>
      <c r="B13" s="256"/>
      <c r="C13" s="256"/>
      <c r="D13" s="257"/>
      <c r="E13" s="105">
        <f>SUM(E14:E22)</f>
        <v>27674.02</v>
      </c>
    </row>
    <row r="14" spans="2:6" ht="15" outlineLevel="2">
      <c r="B14" s="87" t="s">
        <v>137</v>
      </c>
      <c r="C14" s="83" t="s">
        <v>1580</v>
      </c>
      <c r="D14" s="83" t="s">
        <v>2187</v>
      </c>
      <c r="E14" s="106">
        <v>422.78</v>
      </c>
      <c r="F14" s="14"/>
    </row>
    <row r="15" spans="2:6" ht="15" outlineLevel="2">
      <c r="B15" s="87" t="s">
        <v>180</v>
      </c>
      <c r="C15" s="83" t="s">
        <v>1580</v>
      </c>
      <c r="D15" s="83" t="s">
        <v>1410</v>
      </c>
      <c r="E15" s="106">
        <v>86.04</v>
      </c>
      <c r="F15" s="14"/>
    </row>
    <row r="16" spans="2:6" ht="15" outlineLevel="2">
      <c r="B16" s="87" t="s">
        <v>182</v>
      </c>
      <c r="C16" s="83" t="s">
        <v>1580</v>
      </c>
      <c r="D16" s="83" t="s">
        <v>1394</v>
      </c>
      <c r="E16" s="106">
        <v>206.38</v>
      </c>
      <c r="F16" s="14"/>
    </row>
    <row r="17" spans="2:6" ht="15" outlineLevel="2">
      <c r="B17" s="87" t="s">
        <v>1708</v>
      </c>
      <c r="C17" s="83" t="s">
        <v>1581</v>
      </c>
      <c r="D17" s="83" t="s">
        <v>1234</v>
      </c>
      <c r="E17" s="106">
        <v>6140.02</v>
      </c>
      <c r="F17" s="14"/>
    </row>
    <row r="18" spans="2:6" ht="15" outlineLevel="2">
      <c r="B18" s="87" t="s">
        <v>29</v>
      </c>
      <c r="C18" s="83" t="s">
        <v>1584</v>
      </c>
      <c r="D18" s="83" t="s">
        <v>2508</v>
      </c>
      <c r="E18" s="106">
        <v>6067.15</v>
      </c>
      <c r="F18" s="14"/>
    </row>
    <row r="19" spans="2:6" ht="15" outlineLevel="2">
      <c r="B19" s="87" t="s">
        <v>2</v>
      </c>
      <c r="C19" s="83" t="s">
        <v>1584</v>
      </c>
      <c r="D19" s="83" t="s">
        <v>760</v>
      </c>
      <c r="E19" s="106">
        <v>5627.7</v>
      </c>
      <c r="F19" s="14"/>
    </row>
    <row r="20" spans="2:6" ht="14.25" customHeight="1" outlineLevel="2">
      <c r="B20" s="87" t="s">
        <v>345</v>
      </c>
      <c r="C20" s="83" t="s">
        <v>1586</v>
      </c>
      <c r="D20" s="83" t="s">
        <v>346</v>
      </c>
      <c r="E20" s="106">
        <v>4499.3</v>
      </c>
      <c r="F20" s="14"/>
    </row>
    <row r="21" spans="2:6" ht="15" outlineLevel="2">
      <c r="B21" s="87" t="s">
        <v>1351</v>
      </c>
      <c r="C21" s="83" t="s">
        <v>1586</v>
      </c>
      <c r="D21" s="83" t="s">
        <v>1352</v>
      </c>
      <c r="E21" s="106">
        <v>3154</v>
      </c>
      <c r="F21" s="14"/>
    </row>
    <row r="22" spans="2:6" ht="30" outlineLevel="2">
      <c r="B22" s="87" t="s">
        <v>192</v>
      </c>
      <c r="C22" s="83" t="s">
        <v>1586</v>
      </c>
      <c r="D22" s="83" t="s">
        <v>783</v>
      </c>
      <c r="E22" s="106">
        <v>1470.65</v>
      </c>
      <c r="F22" s="14"/>
    </row>
    <row r="23" spans="1:5" ht="14.25" customHeight="1" outlineLevel="1">
      <c r="A23" s="255" t="s">
        <v>1591</v>
      </c>
      <c r="B23" s="256"/>
      <c r="C23" s="256"/>
      <c r="D23" s="257"/>
      <c r="E23" s="105">
        <f>SUM(E24:E36)</f>
        <v>23613.429999999997</v>
      </c>
    </row>
    <row r="24" spans="2:6" ht="15" outlineLevel="2">
      <c r="B24" s="88" t="s">
        <v>61</v>
      </c>
      <c r="C24" s="82" t="s">
        <v>1577</v>
      </c>
      <c r="D24" s="82" t="s">
        <v>2100</v>
      </c>
      <c r="E24" s="106">
        <v>932.5</v>
      </c>
      <c r="F24" s="14"/>
    </row>
    <row r="25" spans="2:6" ht="30" outlineLevel="2">
      <c r="B25" s="87" t="s">
        <v>126</v>
      </c>
      <c r="C25" s="83" t="s">
        <v>1577</v>
      </c>
      <c r="D25" s="83" t="s">
        <v>408</v>
      </c>
      <c r="E25" s="106">
        <v>4968.7</v>
      </c>
      <c r="F25" s="14"/>
    </row>
    <row r="26" spans="2:6" ht="15" outlineLevel="2">
      <c r="B26" s="87" t="s">
        <v>661</v>
      </c>
      <c r="C26" s="83" t="s">
        <v>1578</v>
      </c>
      <c r="D26" s="83" t="s">
        <v>378</v>
      </c>
      <c r="E26" s="106">
        <v>328.32</v>
      </c>
      <c r="F26" s="14"/>
    </row>
    <row r="27" spans="2:6" ht="15" outlineLevel="2">
      <c r="B27" s="87" t="s">
        <v>128</v>
      </c>
      <c r="C27" s="83" t="s">
        <v>1578</v>
      </c>
      <c r="D27" s="83" t="s">
        <v>389</v>
      </c>
      <c r="E27" s="106">
        <v>685.87</v>
      </c>
      <c r="F27" s="14"/>
    </row>
    <row r="28" spans="2:6" ht="15" outlineLevel="2">
      <c r="B28" s="87" t="s">
        <v>130</v>
      </c>
      <c r="C28" s="83" t="s">
        <v>1578</v>
      </c>
      <c r="D28" s="83" t="s">
        <v>409</v>
      </c>
      <c r="E28" s="106">
        <v>1430.6</v>
      </c>
      <c r="F28" s="14"/>
    </row>
    <row r="29" spans="2:6" ht="15" outlineLevel="2">
      <c r="B29" s="87" t="s">
        <v>2180</v>
      </c>
      <c r="C29" s="83" t="s">
        <v>1578</v>
      </c>
      <c r="D29" s="83" t="s">
        <v>507</v>
      </c>
      <c r="E29" s="106">
        <v>658.5</v>
      </c>
      <c r="F29" s="14"/>
    </row>
    <row r="30" spans="2:6" ht="15" outlineLevel="2">
      <c r="B30" s="87" t="s">
        <v>879</v>
      </c>
      <c r="C30" s="83" t="s">
        <v>1579</v>
      </c>
      <c r="D30" s="83" t="s">
        <v>319</v>
      </c>
      <c r="E30" s="106">
        <v>2408.45</v>
      </c>
      <c r="F30" s="14"/>
    </row>
    <row r="31" spans="2:6" ht="15" outlineLevel="2">
      <c r="B31" s="87" t="s">
        <v>184</v>
      </c>
      <c r="C31" s="83" t="s">
        <v>1580</v>
      </c>
      <c r="D31" s="83" t="s">
        <v>1871</v>
      </c>
      <c r="E31" s="106">
        <v>2247.14</v>
      </c>
      <c r="F31" s="14"/>
    </row>
    <row r="32" spans="2:6" ht="15" outlineLevel="2">
      <c r="B32" s="87" t="s">
        <v>1515</v>
      </c>
      <c r="C32" s="83" t="s">
        <v>1582</v>
      </c>
      <c r="D32" s="83" t="s">
        <v>1859</v>
      </c>
      <c r="E32" s="106">
        <v>2255.5</v>
      </c>
      <c r="F32" s="14"/>
    </row>
    <row r="33" spans="2:6" ht="18" customHeight="1" outlineLevel="2">
      <c r="B33" s="87" t="s">
        <v>1527</v>
      </c>
      <c r="C33" s="83" t="s">
        <v>1585</v>
      </c>
      <c r="D33" s="83" t="s">
        <v>1528</v>
      </c>
      <c r="E33" s="106">
        <v>3929.28</v>
      </c>
      <c r="F33" s="14"/>
    </row>
    <row r="34" spans="2:6" ht="19.5" customHeight="1" outlineLevel="2">
      <c r="B34" s="87" t="s">
        <v>562</v>
      </c>
      <c r="C34" s="83" t="s">
        <v>1586</v>
      </c>
      <c r="D34" s="83" t="s">
        <v>561</v>
      </c>
      <c r="E34" s="106">
        <v>48</v>
      </c>
      <c r="F34" s="14"/>
    </row>
    <row r="35" spans="2:6" ht="15" outlineLevel="2">
      <c r="B35" s="87" t="s">
        <v>750</v>
      </c>
      <c r="C35" s="83" t="s">
        <v>1587</v>
      </c>
      <c r="D35" s="83" t="s">
        <v>752</v>
      </c>
      <c r="E35" s="106">
        <v>1601.91</v>
      </c>
      <c r="F35" s="14"/>
    </row>
    <row r="36" spans="2:6" ht="15" outlineLevel="2">
      <c r="B36" s="87" t="s">
        <v>440</v>
      </c>
      <c r="C36" s="83" t="s">
        <v>1588</v>
      </c>
      <c r="D36" s="83" t="s">
        <v>2504</v>
      </c>
      <c r="E36" s="106">
        <v>2118.66</v>
      </c>
      <c r="F36" s="14"/>
    </row>
    <row r="37" spans="1:5" ht="13.5" customHeight="1" outlineLevel="1">
      <c r="A37" s="255" t="s">
        <v>1599</v>
      </c>
      <c r="B37" s="256"/>
      <c r="C37" s="256"/>
      <c r="D37" s="257"/>
      <c r="E37" s="105">
        <f>SUM(E38:E44)</f>
        <v>63716.6</v>
      </c>
    </row>
    <row r="38" spans="2:6" ht="15" outlineLevel="2">
      <c r="B38" s="83" t="s">
        <v>135</v>
      </c>
      <c r="C38" s="83" t="s">
        <v>1579</v>
      </c>
      <c r="D38" s="83" t="s">
        <v>2345</v>
      </c>
      <c r="E38" s="106">
        <v>82.98</v>
      </c>
      <c r="F38" s="14"/>
    </row>
    <row r="39" spans="2:6" ht="15" outlineLevel="2">
      <c r="B39" s="83" t="s">
        <v>18</v>
      </c>
      <c r="C39" s="83" t="s">
        <v>1579</v>
      </c>
      <c r="D39" s="83" t="s">
        <v>1498</v>
      </c>
      <c r="E39" s="106">
        <v>10007.98</v>
      </c>
      <c r="F39" s="14"/>
    </row>
    <row r="40" spans="2:6" ht="15" outlineLevel="2">
      <c r="B40" s="83" t="s">
        <v>1704</v>
      </c>
      <c r="C40" s="83" t="s">
        <v>1581</v>
      </c>
      <c r="D40" s="83" t="s">
        <v>2114</v>
      </c>
      <c r="E40" s="106">
        <v>2450.15</v>
      </c>
      <c r="F40" s="14"/>
    </row>
    <row r="41" spans="2:6" ht="15" outlineLevel="2">
      <c r="B41" s="83" t="s">
        <v>1510</v>
      </c>
      <c r="C41" s="83" t="s">
        <v>1581</v>
      </c>
      <c r="D41" s="83" t="s">
        <v>221</v>
      </c>
      <c r="E41" s="106">
        <v>23727</v>
      </c>
      <c r="F41" s="14"/>
    </row>
    <row r="42" spans="2:6" ht="15" outlineLevel="2">
      <c r="B42" s="83" t="s">
        <v>1512</v>
      </c>
      <c r="C42" s="83" t="s">
        <v>1581</v>
      </c>
      <c r="D42" s="83" t="s">
        <v>227</v>
      </c>
      <c r="E42" s="106">
        <v>11856</v>
      </c>
      <c r="F42" s="14"/>
    </row>
    <row r="43" spans="2:6" ht="15" outlineLevel="2">
      <c r="B43" s="83" t="s">
        <v>1513</v>
      </c>
      <c r="C43" s="83" t="s">
        <v>1581</v>
      </c>
      <c r="D43" s="83" t="s">
        <v>2062</v>
      </c>
      <c r="E43" s="106">
        <v>15501</v>
      </c>
      <c r="F43" s="14"/>
    </row>
    <row r="44" spans="2:6" ht="15" outlineLevel="2">
      <c r="B44" s="83" t="s">
        <v>1554</v>
      </c>
      <c r="C44" s="83" t="s">
        <v>1586</v>
      </c>
      <c r="D44" s="83" t="s">
        <v>1553</v>
      </c>
      <c r="E44" s="106">
        <v>91.49</v>
      </c>
      <c r="F44" s="14"/>
    </row>
    <row r="45" spans="1:5" ht="13.5" customHeight="1" outlineLevel="1">
      <c r="A45" s="255" t="s">
        <v>1713</v>
      </c>
      <c r="B45" s="256"/>
      <c r="C45" s="256"/>
      <c r="D45" s="257"/>
      <c r="E45" s="105">
        <f>SUM(E46:E57)</f>
        <v>148154.01700000002</v>
      </c>
    </row>
    <row r="46" spans="2:6" ht="15" outlineLevel="2">
      <c r="B46" s="82"/>
      <c r="C46" s="82" t="s">
        <v>1577</v>
      </c>
      <c r="D46" s="82" t="s">
        <v>1496</v>
      </c>
      <c r="E46" s="106">
        <v>12568.06</v>
      </c>
      <c r="F46" s="14"/>
    </row>
    <row r="47" spans="2:6" ht="15" outlineLevel="2">
      <c r="B47" s="83"/>
      <c r="C47" s="83" t="s">
        <v>1578</v>
      </c>
      <c r="D47" s="83" t="s">
        <v>1496</v>
      </c>
      <c r="E47" s="106">
        <v>12568.06</v>
      </c>
      <c r="F47" s="14"/>
    </row>
    <row r="48" spans="2:6" ht="15" outlineLevel="2">
      <c r="B48" s="83"/>
      <c r="C48" s="83" t="s">
        <v>1579</v>
      </c>
      <c r="D48" s="83" t="s">
        <v>1496</v>
      </c>
      <c r="E48" s="106">
        <v>12568.06</v>
      </c>
      <c r="F48" s="14"/>
    </row>
    <row r="49" spans="2:6" ht="15" outlineLevel="2">
      <c r="B49" s="83"/>
      <c r="C49" s="83" t="s">
        <v>1580</v>
      </c>
      <c r="D49" s="83" t="s">
        <v>1496</v>
      </c>
      <c r="E49" s="106">
        <v>12568.06</v>
      </c>
      <c r="F49" s="14"/>
    </row>
    <row r="50" spans="2:6" ht="15" outlineLevel="2">
      <c r="B50" s="83"/>
      <c r="C50" s="83" t="s">
        <v>1581</v>
      </c>
      <c r="D50" s="83" t="s">
        <v>1496</v>
      </c>
      <c r="E50" s="106">
        <v>12035.52</v>
      </c>
      <c r="F50" s="14"/>
    </row>
    <row r="51" spans="2:6" ht="15" outlineLevel="2">
      <c r="B51" s="83"/>
      <c r="C51" s="83" t="s">
        <v>1582</v>
      </c>
      <c r="D51" s="83" t="s">
        <v>1496</v>
      </c>
      <c r="E51" s="106">
        <v>12035.52</v>
      </c>
      <c r="F51" s="14"/>
    </row>
    <row r="52" spans="2:6" ht="15" outlineLevel="2">
      <c r="B52" s="83"/>
      <c r="C52" s="83" t="s">
        <v>1583</v>
      </c>
      <c r="D52" s="83" t="s">
        <v>1496</v>
      </c>
      <c r="E52" s="106">
        <f>'[4]Июль'!$Z$18</f>
        <v>12035.517000000002</v>
      </c>
      <c r="F52" s="14"/>
    </row>
    <row r="53" spans="2:6" ht="15" outlineLevel="2">
      <c r="B53" s="83"/>
      <c r="C53" s="83" t="s">
        <v>1584</v>
      </c>
      <c r="D53" s="83" t="s">
        <v>1496</v>
      </c>
      <c r="E53" s="106">
        <f>12035.52</f>
        <v>12035.52</v>
      </c>
      <c r="F53" s="14"/>
    </row>
    <row r="54" spans="2:6" ht="15" outlineLevel="2">
      <c r="B54" s="83"/>
      <c r="C54" s="83" t="s">
        <v>1585</v>
      </c>
      <c r="D54" s="83" t="s">
        <v>1496</v>
      </c>
      <c r="E54" s="106">
        <v>12035.52</v>
      </c>
      <c r="F54" s="14"/>
    </row>
    <row r="55" spans="2:6" ht="15" outlineLevel="2">
      <c r="B55" s="83"/>
      <c r="C55" s="83" t="s">
        <v>1586</v>
      </c>
      <c r="D55" s="83" t="s">
        <v>1496</v>
      </c>
      <c r="E55" s="106">
        <v>12568.06</v>
      </c>
      <c r="F55" s="14"/>
    </row>
    <row r="56" spans="2:6" ht="15" outlineLevel="2">
      <c r="B56" s="83"/>
      <c r="C56" s="83" t="s">
        <v>1587</v>
      </c>
      <c r="D56" s="83" t="s">
        <v>1496</v>
      </c>
      <c r="E56" s="106">
        <v>12568.06</v>
      </c>
      <c r="F56" s="14"/>
    </row>
    <row r="57" spans="2:6" ht="15" outlineLevel="2">
      <c r="B57" s="89"/>
      <c r="C57" s="83" t="s">
        <v>1588</v>
      </c>
      <c r="D57" s="107" t="s">
        <v>1496</v>
      </c>
      <c r="E57" s="106">
        <v>12568.06</v>
      </c>
      <c r="F57" s="14"/>
    </row>
    <row r="58" spans="1:5" ht="12" customHeight="1" outlineLevel="1">
      <c r="A58" s="255" t="s">
        <v>1714</v>
      </c>
      <c r="B58" s="256"/>
      <c r="C58" s="256"/>
      <c r="D58" s="257"/>
      <c r="E58" s="105">
        <f>1.46*3550.3*12</f>
        <v>62201.256</v>
      </c>
    </row>
    <row r="59" spans="1:5" ht="12.75" customHeight="1" outlineLevel="1">
      <c r="A59" s="255" t="s">
        <v>1715</v>
      </c>
      <c r="B59" s="256"/>
      <c r="C59" s="256"/>
      <c r="D59" s="257"/>
      <c r="E59" s="105">
        <f>SUM(E60:E65)</f>
        <v>3789.91</v>
      </c>
    </row>
    <row r="60" spans="2:6" ht="15" outlineLevel="2">
      <c r="B60" s="82" t="s">
        <v>66</v>
      </c>
      <c r="C60" s="82" t="s">
        <v>1577</v>
      </c>
      <c r="D60" s="82" t="s">
        <v>2179</v>
      </c>
      <c r="E60" s="106">
        <v>2164</v>
      </c>
      <c r="F60" s="14"/>
    </row>
    <row r="61" spans="2:6" ht="15" outlineLevel="2">
      <c r="B61" s="83" t="s">
        <v>139</v>
      </c>
      <c r="C61" s="83" t="s">
        <v>1580</v>
      </c>
      <c r="D61" s="83" t="s">
        <v>2233</v>
      </c>
      <c r="E61" s="106">
        <v>578.08</v>
      </c>
      <c r="F61" s="14"/>
    </row>
    <row r="62" spans="2:6" ht="15" outlineLevel="2">
      <c r="B62" s="83" t="s">
        <v>2</v>
      </c>
      <c r="C62" s="83" t="s">
        <v>1580</v>
      </c>
      <c r="D62" s="83" t="s">
        <v>2278</v>
      </c>
      <c r="E62" s="106">
        <v>212.16</v>
      </c>
      <c r="F62" s="14"/>
    </row>
    <row r="63" spans="2:6" ht="15" outlineLevel="2">
      <c r="B63" s="83" t="s">
        <v>1636</v>
      </c>
      <c r="C63" s="83" t="s">
        <v>1585</v>
      </c>
      <c r="D63" s="83" t="s">
        <v>110</v>
      </c>
      <c r="E63" s="106">
        <v>328.36</v>
      </c>
      <c r="F63" s="14"/>
    </row>
    <row r="64" spans="2:6" ht="15" outlineLevel="2">
      <c r="B64" s="83" t="s">
        <v>206</v>
      </c>
      <c r="C64" s="83" t="s">
        <v>1587</v>
      </c>
      <c r="D64" s="83" t="s">
        <v>207</v>
      </c>
      <c r="E64" s="106">
        <v>139.2</v>
      </c>
      <c r="F64" s="14"/>
    </row>
    <row r="65" spans="2:6" ht="15" outlineLevel="2">
      <c r="B65" s="83" t="s">
        <v>1958</v>
      </c>
      <c r="C65" s="83" t="s">
        <v>1588</v>
      </c>
      <c r="D65" s="83" t="s">
        <v>1960</v>
      </c>
      <c r="E65" s="106">
        <v>368.11</v>
      </c>
      <c r="F65" s="14"/>
    </row>
    <row r="66" spans="1:5" ht="14.25" customHeight="1" outlineLevel="1">
      <c r="A66" s="255" t="s">
        <v>1716</v>
      </c>
      <c r="B66" s="256"/>
      <c r="C66" s="256"/>
      <c r="D66" s="257"/>
      <c r="E66" s="105">
        <f>SUM(E67:E67)</f>
        <v>227.33</v>
      </c>
    </row>
    <row r="67" spans="2:6" ht="15" outlineLevel="2">
      <c r="B67" s="82" t="s">
        <v>1267</v>
      </c>
      <c r="C67" s="82" t="s">
        <v>1577</v>
      </c>
      <c r="D67" s="82" t="s">
        <v>866</v>
      </c>
      <c r="E67" s="106">
        <v>227.33</v>
      </c>
      <c r="F67" s="14"/>
    </row>
    <row r="68" spans="1:5" ht="14.25" customHeight="1" outlineLevel="1">
      <c r="A68" s="255" t="s">
        <v>1717</v>
      </c>
      <c r="B68" s="256"/>
      <c r="C68" s="256"/>
      <c r="D68" s="257"/>
      <c r="E68" s="105">
        <f>SUM(E69:E69)</f>
        <v>166.69</v>
      </c>
    </row>
    <row r="69" spans="2:6" ht="15" outlineLevel="2">
      <c r="B69" s="83" t="s">
        <v>2</v>
      </c>
      <c r="C69" s="83" t="s">
        <v>1581</v>
      </c>
      <c r="D69" s="83" t="s">
        <v>2278</v>
      </c>
      <c r="E69" s="106">
        <v>166.69</v>
      </c>
      <c r="F69" s="14"/>
    </row>
    <row r="70" spans="1:5" ht="14.25" customHeight="1" outlineLevel="1">
      <c r="A70" s="255" t="s">
        <v>1595</v>
      </c>
      <c r="B70" s="256"/>
      <c r="C70" s="256"/>
      <c r="D70" s="257"/>
      <c r="E70" s="105">
        <f>SUM(E71:E78)</f>
        <v>6985.02</v>
      </c>
    </row>
    <row r="71" spans="2:6" ht="15" outlineLevel="2">
      <c r="B71" s="82" t="s">
        <v>2008</v>
      </c>
      <c r="C71" s="82" t="s">
        <v>1577</v>
      </c>
      <c r="D71" s="82" t="s">
        <v>2063</v>
      </c>
      <c r="E71" s="106">
        <v>23.4</v>
      </c>
      <c r="F71" s="14"/>
    </row>
    <row r="72" spans="2:6" ht="33" customHeight="1" outlineLevel="2">
      <c r="B72" s="83" t="s">
        <v>64</v>
      </c>
      <c r="C72" s="83" t="s">
        <v>1577</v>
      </c>
      <c r="D72" s="83" t="s">
        <v>2125</v>
      </c>
      <c r="E72" s="106">
        <v>1194</v>
      </c>
      <c r="F72" s="14"/>
    </row>
    <row r="73" spans="2:6" ht="15" outlineLevel="2">
      <c r="B73" s="83" t="s">
        <v>133</v>
      </c>
      <c r="C73" s="83" t="s">
        <v>1579</v>
      </c>
      <c r="D73" s="83" t="s">
        <v>2323</v>
      </c>
      <c r="E73" s="106">
        <v>257.59</v>
      </c>
      <c r="F73" s="14"/>
    </row>
    <row r="74" spans="2:6" ht="15" outlineLevel="2">
      <c r="B74" s="83" t="s">
        <v>1703</v>
      </c>
      <c r="C74" s="83" t="s">
        <v>1581</v>
      </c>
      <c r="D74" s="83" t="s">
        <v>49</v>
      </c>
      <c r="E74" s="106">
        <v>265</v>
      </c>
      <c r="F74" s="14"/>
    </row>
    <row r="75" spans="2:6" ht="15" outlineLevel="2">
      <c r="B75" s="83" t="s">
        <v>43</v>
      </c>
      <c r="C75" s="83" t="s">
        <v>1583</v>
      </c>
      <c r="D75" s="83" t="s">
        <v>1881</v>
      </c>
      <c r="E75" s="106">
        <v>220.1</v>
      </c>
      <c r="F75" s="14"/>
    </row>
    <row r="76" spans="2:6" ht="15" outlineLevel="2">
      <c r="B76" s="83" t="s">
        <v>31</v>
      </c>
      <c r="C76" s="83" t="s">
        <v>1584</v>
      </c>
      <c r="D76" s="83" t="s">
        <v>635</v>
      </c>
      <c r="E76" s="106">
        <v>1147</v>
      </c>
      <c r="F76" s="14"/>
    </row>
    <row r="77" spans="2:6" ht="15" outlineLevel="2">
      <c r="B77" s="83" t="s">
        <v>31</v>
      </c>
      <c r="C77" s="83" t="s">
        <v>1584</v>
      </c>
      <c r="D77" s="83" t="s">
        <v>636</v>
      </c>
      <c r="E77" s="106">
        <v>136.93</v>
      </c>
      <c r="F77" s="14"/>
    </row>
    <row r="78" spans="2:6" ht="15" outlineLevel="2">
      <c r="B78" s="83" t="s">
        <v>979</v>
      </c>
      <c r="C78" s="83" t="s">
        <v>1588</v>
      </c>
      <c r="D78" s="83" t="s">
        <v>600</v>
      </c>
      <c r="E78" s="106">
        <v>3741</v>
      </c>
      <c r="F78" s="14"/>
    </row>
    <row r="79" spans="1:5" ht="12" customHeight="1" outlineLevel="1">
      <c r="A79" s="255" t="s">
        <v>1718</v>
      </c>
      <c r="B79" s="256"/>
      <c r="C79" s="256"/>
      <c r="D79" s="257"/>
      <c r="E79" s="105">
        <f>SUM(E80:E84)</f>
        <v>4525.0599999999995</v>
      </c>
    </row>
    <row r="80" spans="2:6" ht="15" outlineLevel="2">
      <c r="B80" s="82" t="s">
        <v>1267</v>
      </c>
      <c r="C80" s="82" t="s">
        <v>1577</v>
      </c>
      <c r="D80" s="82" t="s">
        <v>1897</v>
      </c>
      <c r="E80" s="106">
        <v>1828.12</v>
      </c>
      <c r="F80" s="14"/>
    </row>
    <row r="81" spans="2:6" ht="15" outlineLevel="2">
      <c r="B81" s="83" t="s">
        <v>2180</v>
      </c>
      <c r="C81" s="83" t="s">
        <v>1578</v>
      </c>
      <c r="D81" s="83" t="s">
        <v>507</v>
      </c>
      <c r="E81" s="106">
        <v>658.5</v>
      </c>
      <c r="F81" s="14"/>
    </row>
    <row r="82" spans="2:6" ht="15" outlineLevel="2">
      <c r="B82" s="83" t="s">
        <v>2</v>
      </c>
      <c r="C82" s="83" t="s">
        <v>57</v>
      </c>
      <c r="D82" s="83" t="s">
        <v>721</v>
      </c>
      <c r="E82" s="106">
        <v>120.73</v>
      </c>
      <c r="F82" s="14"/>
    </row>
    <row r="83" spans="2:6" ht="15" outlineLevel="2">
      <c r="B83" s="83" t="s">
        <v>2</v>
      </c>
      <c r="C83" s="83" t="s">
        <v>1581</v>
      </c>
      <c r="D83" s="83" t="s">
        <v>2390</v>
      </c>
      <c r="E83" s="106">
        <v>1783.31</v>
      </c>
      <c r="F83" s="14"/>
    </row>
    <row r="84" spans="2:6" ht="15" outlineLevel="2">
      <c r="B84" s="84" t="s">
        <v>2</v>
      </c>
      <c r="C84" s="84" t="s">
        <v>57</v>
      </c>
      <c r="D84" s="84" t="s">
        <v>936</v>
      </c>
      <c r="E84" s="106">
        <v>134.4</v>
      </c>
      <c r="F84" s="14"/>
    </row>
    <row r="85" spans="1:6" ht="15" customHeight="1" outlineLevel="2">
      <c r="A85" s="255" t="s">
        <v>0</v>
      </c>
      <c r="B85" s="256"/>
      <c r="C85" s="256"/>
      <c r="D85" s="257"/>
      <c r="E85" s="105">
        <f>0.1*3550.3*12</f>
        <v>4260.360000000001</v>
      </c>
      <c r="F85" s="14"/>
    </row>
    <row r="86" spans="1:6" ht="14.25" customHeight="1" outlineLevel="2">
      <c r="A86" s="255" t="s">
        <v>1369</v>
      </c>
      <c r="B86" s="256"/>
      <c r="C86" s="256"/>
      <c r="D86" s="257"/>
      <c r="E86" s="105">
        <v>3166.66</v>
      </c>
      <c r="F86" s="14"/>
    </row>
    <row r="87" spans="2:6" ht="15">
      <c r="B87" s="273" t="s">
        <v>255</v>
      </c>
      <c r="C87" s="273"/>
      <c r="D87" s="273"/>
      <c r="E87" s="43">
        <f>0.94*3550.3*12</f>
        <v>40047.384000000005</v>
      </c>
      <c r="F87" s="26"/>
    </row>
    <row r="88" spans="2:6" ht="15">
      <c r="B88" s="270" t="s">
        <v>59</v>
      </c>
      <c r="C88" s="270"/>
      <c r="D88" s="270"/>
      <c r="E88" s="43">
        <f>1.57*3550.3*12</f>
        <v>66887.652</v>
      </c>
      <c r="F88" s="14"/>
    </row>
    <row r="89" spans="2:6" ht="15">
      <c r="B89" s="270" t="s">
        <v>256</v>
      </c>
      <c r="C89" s="270"/>
      <c r="D89" s="270"/>
      <c r="E89" s="43">
        <f>10.3*(E91+E92)/100</f>
        <v>93197.06564000002</v>
      </c>
      <c r="F89" s="14"/>
    </row>
    <row r="90" spans="2:5" ht="15">
      <c r="B90" s="272" t="s">
        <v>659</v>
      </c>
      <c r="C90" s="272"/>
      <c r="D90" s="272"/>
      <c r="E90" s="44">
        <f>E89+E88+E87+E4</f>
        <v>566757.12464</v>
      </c>
    </row>
    <row r="91" spans="2:6" ht="15">
      <c r="B91" s="270" t="s">
        <v>258</v>
      </c>
      <c r="C91" s="270"/>
      <c r="D91" s="270"/>
      <c r="E91" s="43">
        <v>795604.62</v>
      </c>
      <c r="F91" s="14"/>
    </row>
    <row r="92" spans="2:5" ht="15">
      <c r="B92" s="270" t="s">
        <v>259</v>
      </c>
      <c r="C92" s="270"/>
      <c r="D92" s="270"/>
      <c r="E92" s="43">
        <v>109221.26</v>
      </c>
    </row>
    <row r="93" spans="2:5" ht="15">
      <c r="B93" s="270" t="s">
        <v>660</v>
      </c>
      <c r="C93" s="270"/>
      <c r="D93" s="270"/>
      <c r="E93" s="43">
        <v>2488578.82</v>
      </c>
    </row>
    <row r="94" spans="2:5" ht="15">
      <c r="B94" s="270" t="s">
        <v>2340</v>
      </c>
      <c r="C94" s="270"/>
      <c r="D94" s="270"/>
      <c r="E94" s="43">
        <v>1751638.43</v>
      </c>
    </row>
    <row r="95" spans="2:5" ht="15">
      <c r="B95" s="272" t="s">
        <v>2341</v>
      </c>
      <c r="C95" s="272"/>
      <c r="D95" s="272"/>
      <c r="E95" s="44">
        <f>'[5]Комсомольский 18'!$E$110+E90</f>
        <v>2060468.25464</v>
      </c>
    </row>
    <row r="96" spans="2:5" ht="15">
      <c r="B96" s="270" t="s">
        <v>732</v>
      </c>
      <c r="C96" s="270"/>
      <c r="D96" s="270"/>
      <c r="E96" s="43">
        <v>345248.4</v>
      </c>
    </row>
    <row r="97" spans="2:5" ht="15">
      <c r="B97" s="270" t="s">
        <v>733</v>
      </c>
      <c r="C97" s="270"/>
      <c r="D97" s="270"/>
      <c r="E97" s="43">
        <v>243059</v>
      </c>
    </row>
    <row r="98" spans="2:5" ht="12.75" customHeight="1">
      <c r="B98" s="272" t="s">
        <v>734</v>
      </c>
      <c r="C98" s="272"/>
      <c r="D98" s="272"/>
      <c r="E98" s="44">
        <v>0</v>
      </c>
    </row>
    <row r="99" spans="2:5" ht="15">
      <c r="B99" s="270" t="s">
        <v>260</v>
      </c>
      <c r="C99" s="270"/>
      <c r="D99" s="270"/>
      <c r="E99" s="43">
        <v>537187.93</v>
      </c>
    </row>
    <row r="100" spans="2:5" ht="15">
      <c r="B100" s="270" t="s">
        <v>735</v>
      </c>
      <c r="C100" s="270"/>
      <c r="D100" s="270"/>
      <c r="E100" s="43">
        <v>73745.61</v>
      </c>
    </row>
    <row r="101" spans="2:5" ht="15">
      <c r="B101" s="272" t="s">
        <v>736</v>
      </c>
      <c r="C101" s="272"/>
      <c r="D101" s="272"/>
      <c r="E101" s="44">
        <v>0</v>
      </c>
    </row>
    <row r="102" spans="2:5" ht="18.75" customHeight="1">
      <c r="B102" s="271" t="s">
        <v>737</v>
      </c>
      <c r="C102" s="271"/>
      <c r="D102" s="271"/>
      <c r="E102" s="45">
        <f>E93-E95</f>
        <v>428110.5653599999</v>
      </c>
    </row>
    <row r="103" spans="2:5" ht="15" customHeight="1">
      <c r="B103" s="271" t="s">
        <v>738</v>
      </c>
      <c r="C103" s="271"/>
      <c r="D103" s="271"/>
      <c r="E103" s="45">
        <f>E96-E98</f>
        <v>345248.4</v>
      </c>
    </row>
    <row r="104" spans="2:5" ht="27" customHeight="1">
      <c r="B104" s="271" t="s">
        <v>2273</v>
      </c>
      <c r="C104" s="271"/>
      <c r="D104" s="271"/>
      <c r="E104" s="45">
        <f>E94-E95</f>
        <v>-308829.82464</v>
      </c>
    </row>
    <row r="105" ht="15">
      <c r="E105" s="90"/>
    </row>
    <row r="106" spans="1:5" ht="120">
      <c r="A106" s="83" t="s">
        <v>492</v>
      </c>
      <c r="E106" s="90"/>
    </row>
    <row r="107" spans="1:5" ht="105">
      <c r="A107" s="83" t="s">
        <v>493</v>
      </c>
      <c r="E107" s="90"/>
    </row>
    <row r="108" spans="1:5" ht="255">
      <c r="A108" s="83" t="s">
        <v>494</v>
      </c>
      <c r="E108" s="90"/>
    </row>
    <row r="109" spans="1:5" ht="105">
      <c r="A109" s="83" t="s">
        <v>495</v>
      </c>
      <c r="E109" s="90"/>
    </row>
    <row r="111" spans="2:5" ht="15">
      <c r="B111" s="83" t="s">
        <v>2</v>
      </c>
      <c r="C111" s="83" t="s">
        <v>1579</v>
      </c>
      <c r="D111" s="83" t="s">
        <v>2184</v>
      </c>
      <c r="E111" s="139">
        <v>2302.08</v>
      </c>
    </row>
    <row r="112" spans="2:5" ht="15">
      <c r="B112" s="83"/>
      <c r="C112" s="83" t="s">
        <v>1579</v>
      </c>
      <c r="D112" s="83" t="s">
        <v>1446</v>
      </c>
      <c r="E112" s="139">
        <v>12568.06</v>
      </c>
    </row>
    <row r="113" spans="2:5" ht="12.75" customHeight="1">
      <c r="B113" s="83" t="s">
        <v>137</v>
      </c>
      <c r="C113" s="83" t="s">
        <v>1580</v>
      </c>
      <c r="D113" s="83" t="s">
        <v>138</v>
      </c>
      <c r="E113" s="139">
        <v>420.9</v>
      </c>
    </row>
    <row r="114" spans="2:5" ht="15">
      <c r="B114" s="83" t="s">
        <v>139</v>
      </c>
      <c r="C114" s="83" t="s">
        <v>1580</v>
      </c>
      <c r="D114" s="83" t="s">
        <v>179</v>
      </c>
      <c r="E114" s="139">
        <v>578.08</v>
      </c>
    </row>
    <row r="115" spans="2:5" ht="15">
      <c r="B115" s="83" t="s">
        <v>180</v>
      </c>
      <c r="C115" s="83" t="s">
        <v>1580</v>
      </c>
      <c r="D115" s="83" t="s">
        <v>181</v>
      </c>
      <c r="E115" s="139">
        <v>81.17</v>
      </c>
    </row>
    <row r="116" spans="2:5" ht="15">
      <c r="B116" s="83" t="s">
        <v>182</v>
      </c>
      <c r="C116" s="83" t="s">
        <v>1580</v>
      </c>
      <c r="D116" s="83" t="s">
        <v>183</v>
      </c>
      <c r="E116" s="139">
        <v>198.44</v>
      </c>
    </row>
    <row r="117" spans="2:5" ht="15">
      <c r="B117" s="83" t="s">
        <v>184</v>
      </c>
      <c r="C117" s="83" t="s">
        <v>1580</v>
      </c>
      <c r="D117" s="83" t="s">
        <v>185</v>
      </c>
      <c r="E117" s="139">
        <v>2181.05</v>
      </c>
    </row>
    <row r="118" spans="2:5" ht="15">
      <c r="B118" s="83"/>
      <c r="C118" s="83" t="s">
        <v>1580</v>
      </c>
      <c r="D118" s="83" t="s">
        <v>1446</v>
      </c>
      <c r="E118" s="139">
        <v>12568.06</v>
      </c>
    </row>
    <row r="119" spans="2:5" ht="15">
      <c r="B119" s="83" t="s">
        <v>1703</v>
      </c>
      <c r="C119" s="83" t="s">
        <v>1581</v>
      </c>
      <c r="D119" s="83" t="s">
        <v>186</v>
      </c>
      <c r="E119" s="139">
        <v>255.27</v>
      </c>
    </row>
    <row r="120" spans="2:5" ht="15">
      <c r="B120" s="83" t="s">
        <v>1704</v>
      </c>
      <c r="C120" s="83" t="s">
        <v>1581</v>
      </c>
      <c r="D120" s="83" t="s">
        <v>187</v>
      </c>
      <c r="E120" s="139">
        <v>2181.36</v>
      </c>
    </row>
    <row r="121" spans="2:5" ht="15">
      <c r="B121" s="83" t="s">
        <v>1708</v>
      </c>
      <c r="C121" s="83" t="s">
        <v>1581</v>
      </c>
      <c r="D121" s="83" t="s">
        <v>188</v>
      </c>
      <c r="E121" s="139">
        <v>6075.35</v>
      </c>
    </row>
    <row r="122" spans="2:5" ht="15">
      <c r="B122" s="83" t="s">
        <v>1510</v>
      </c>
      <c r="C122" s="83" t="s">
        <v>1581</v>
      </c>
      <c r="D122" s="83" t="s">
        <v>1511</v>
      </c>
      <c r="E122" s="139">
        <v>23727</v>
      </c>
    </row>
    <row r="123" spans="2:5" ht="15">
      <c r="B123" s="83" t="s">
        <v>1512</v>
      </c>
      <c r="C123" s="83" t="s">
        <v>1581</v>
      </c>
      <c r="D123" s="83" t="s">
        <v>1511</v>
      </c>
      <c r="E123" s="139">
        <v>11856</v>
      </c>
    </row>
    <row r="124" spans="2:5" ht="15">
      <c r="B124" s="83" t="s">
        <v>1513</v>
      </c>
      <c r="C124" s="83" t="s">
        <v>57</v>
      </c>
      <c r="D124" s="83" t="s">
        <v>1514</v>
      </c>
      <c r="E124" s="139">
        <v>15501</v>
      </c>
    </row>
    <row r="125" spans="2:5" ht="15">
      <c r="B125" s="83" t="s">
        <v>1444</v>
      </c>
      <c r="C125" s="83" t="s">
        <v>1581</v>
      </c>
      <c r="D125" s="83" t="s">
        <v>1717</v>
      </c>
      <c r="E125" s="139">
        <v>1166.88</v>
      </c>
    </row>
    <row r="126" spans="2:5" ht="15">
      <c r="B126" s="83" t="s">
        <v>2</v>
      </c>
      <c r="C126" s="83" t="s">
        <v>1581</v>
      </c>
      <c r="D126" s="83" t="s">
        <v>1445</v>
      </c>
      <c r="E126" s="139">
        <v>121</v>
      </c>
    </row>
    <row r="127" spans="2:5" ht="15">
      <c r="B127" s="83"/>
      <c r="C127" s="83" t="s">
        <v>1581</v>
      </c>
      <c r="D127" s="83" t="s">
        <v>1446</v>
      </c>
      <c r="E127" s="139">
        <v>12035.52</v>
      </c>
    </row>
    <row r="128" spans="2:5" ht="15">
      <c r="B128" s="83" t="s">
        <v>1515</v>
      </c>
      <c r="C128" s="83" t="s">
        <v>1582</v>
      </c>
      <c r="D128" s="83" t="s">
        <v>24</v>
      </c>
      <c r="E128" s="139">
        <v>2188.54</v>
      </c>
    </row>
    <row r="129" spans="2:5" ht="15">
      <c r="B129" s="83" t="s">
        <v>39</v>
      </c>
      <c r="C129" s="83" t="s">
        <v>1582</v>
      </c>
      <c r="D129" s="83" t="s">
        <v>25</v>
      </c>
      <c r="E129" s="139">
        <v>622.05</v>
      </c>
    </row>
    <row r="130" spans="2:5" ht="15">
      <c r="B130" s="83"/>
      <c r="C130" s="83" t="s">
        <v>1582</v>
      </c>
      <c r="D130" s="83" t="s">
        <v>1446</v>
      </c>
      <c r="E130" s="139">
        <v>12035.52</v>
      </c>
    </row>
    <row r="131" spans="2:5" ht="15">
      <c r="B131" s="83" t="s">
        <v>26</v>
      </c>
      <c r="C131" s="83" t="s">
        <v>1583</v>
      </c>
      <c r="D131" s="83" t="s">
        <v>27</v>
      </c>
      <c r="E131" s="139">
        <v>12679.72</v>
      </c>
    </row>
    <row r="132" spans="2:5" ht="15">
      <c r="B132" s="83" t="s">
        <v>43</v>
      </c>
      <c r="C132" s="83" t="s">
        <v>1583</v>
      </c>
      <c r="D132" s="83" t="s">
        <v>28</v>
      </c>
      <c r="E132" s="139">
        <v>209.62</v>
      </c>
    </row>
    <row r="133" spans="2:5" ht="15">
      <c r="B133" s="83"/>
      <c r="C133" s="83" t="s">
        <v>1583</v>
      </c>
      <c r="D133" s="83" t="s">
        <v>1446</v>
      </c>
      <c r="E133" s="139">
        <v>12035.52</v>
      </c>
    </row>
    <row r="134" spans="2:5" ht="15">
      <c r="B134" s="83" t="s">
        <v>29</v>
      </c>
      <c r="C134" s="83" t="s">
        <v>1584</v>
      </c>
      <c r="D134" s="83" t="s">
        <v>30</v>
      </c>
      <c r="E134" s="139">
        <v>5599.21</v>
      </c>
    </row>
    <row r="135" spans="2:5" ht="15">
      <c r="B135" s="83" t="s">
        <v>31</v>
      </c>
      <c r="C135" s="83" t="s">
        <v>1584</v>
      </c>
      <c r="D135" s="83" t="s">
        <v>32</v>
      </c>
      <c r="E135" s="139">
        <v>1102.89</v>
      </c>
    </row>
    <row r="136" spans="2:5" ht="15">
      <c r="B136" s="83" t="s">
        <v>33</v>
      </c>
      <c r="C136" s="83" t="s">
        <v>1584</v>
      </c>
      <c r="D136" s="83" t="s">
        <v>2183</v>
      </c>
      <c r="E136" s="139">
        <v>11179.65</v>
      </c>
    </row>
    <row r="137" spans="2:5" ht="15">
      <c r="B137" s="83"/>
      <c r="C137" s="83" t="s">
        <v>1584</v>
      </c>
      <c r="D137" s="83" t="s">
        <v>1446</v>
      </c>
      <c r="E137" s="139">
        <v>12035.52</v>
      </c>
    </row>
    <row r="138" spans="2:5" ht="15">
      <c r="B138" s="83"/>
      <c r="C138" s="83"/>
      <c r="D138" s="83" t="s">
        <v>59</v>
      </c>
      <c r="E138" s="139">
        <v>49704.2</v>
      </c>
    </row>
    <row r="139" spans="2:5" ht="15">
      <c r="B139" s="83"/>
      <c r="C139" s="83"/>
      <c r="D139" s="83" t="s">
        <v>58</v>
      </c>
      <c r="E139" s="139">
        <v>29822.52</v>
      </c>
    </row>
    <row r="140" spans="2:5" ht="15">
      <c r="B140" s="83"/>
      <c r="C140" s="83"/>
      <c r="D140" s="83" t="s">
        <v>1447</v>
      </c>
      <c r="E140" s="83">
        <v>46295.91</v>
      </c>
    </row>
    <row r="141" spans="2:5" ht="15">
      <c r="B141" s="83"/>
      <c r="C141" s="83"/>
      <c r="D141" s="83" t="s">
        <v>0</v>
      </c>
      <c r="E141" s="83">
        <v>3124.26</v>
      </c>
    </row>
    <row r="142" spans="2:5" ht="15">
      <c r="B142" s="83"/>
      <c r="C142" s="83"/>
      <c r="D142" s="83" t="s">
        <v>1448</v>
      </c>
      <c r="E142" s="83">
        <v>62092.83</v>
      </c>
    </row>
    <row r="143" spans="2:5" ht="15">
      <c r="B143" s="83"/>
      <c r="C143" s="83"/>
      <c r="D143" s="83" t="s">
        <v>60</v>
      </c>
      <c r="E143" s="139">
        <f>SUM(E96:E142)</f>
        <v>2028315.2607200004</v>
      </c>
    </row>
    <row r="144" spans="2:5" ht="15">
      <c r="B144" s="83"/>
      <c r="C144" s="83"/>
      <c r="D144" s="83" t="s">
        <v>1449</v>
      </c>
      <c r="E144" s="83">
        <v>530225.86</v>
      </c>
    </row>
    <row r="145" spans="2:5" ht="15">
      <c r="B145" s="83"/>
      <c r="C145" s="83"/>
      <c r="D145" s="83" t="s">
        <v>1450</v>
      </c>
      <c r="E145" s="83">
        <v>72617.12</v>
      </c>
    </row>
    <row r="146" spans="2:5" ht="15">
      <c r="B146" s="83"/>
      <c r="C146" s="83"/>
      <c r="D146" s="83" t="s">
        <v>1655</v>
      </c>
      <c r="E146" s="83">
        <v>351422.35</v>
      </c>
    </row>
    <row r="147" spans="2:5" ht="15">
      <c r="B147" s="83"/>
      <c r="C147" s="83"/>
      <c r="D147" s="83" t="s">
        <v>1656</v>
      </c>
      <c r="E147" s="83">
        <v>48471.86</v>
      </c>
    </row>
    <row r="148" spans="2:5" ht="15">
      <c r="B148" s="83"/>
      <c r="C148" s="83"/>
      <c r="D148" s="83" t="s">
        <v>1657</v>
      </c>
      <c r="E148" s="83">
        <v>-16422.5</v>
      </c>
    </row>
    <row r="157" ht="39.75" thickBot="1">
      <c r="F157" s="28" t="s">
        <v>1658</v>
      </c>
    </row>
    <row r="158" spans="4:7" ht="30">
      <c r="D158" s="101" t="s">
        <v>1570</v>
      </c>
      <c r="E158" s="102" t="s">
        <v>1571</v>
      </c>
      <c r="F158" s="4" t="s">
        <v>1572</v>
      </c>
      <c r="G158" s="5" t="s">
        <v>1573</v>
      </c>
    </row>
    <row r="159" spans="4:7" ht="51.75">
      <c r="D159" s="83" t="s">
        <v>61</v>
      </c>
      <c r="E159" s="83" t="s">
        <v>1577</v>
      </c>
      <c r="F159" s="12" t="s">
        <v>62</v>
      </c>
      <c r="G159" s="29">
        <v>932.5</v>
      </c>
    </row>
    <row r="160" spans="4:7" ht="26.25">
      <c r="D160" s="83" t="s">
        <v>4</v>
      </c>
      <c r="E160" s="83" t="s">
        <v>1577</v>
      </c>
      <c r="F160" s="12" t="s">
        <v>63</v>
      </c>
      <c r="G160" s="29">
        <v>4931.64</v>
      </c>
    </row>
    <row r="161" spans="4:7" ht="77.25">
      <c r="D161" s="83" t="s">
        <v>64</v>
      </c>
      <c r="E161" s="83" t="s">
        <v>1577</v>
      </c>
      <c r="F161" s="12" t="s">
        <v>65</v>
      </c>
      <c r="G161" s="29">
        <v>1194</v>
      </c>
    </row>
    <row r="162" spans="4:7" ht="90">
      <c r="D162" s="83" t="s">
        <v>66</v>
      </c>
      <c r="E162" s="83" t="s">
        <v>1577</v>
      </c>
      <c r="F162" s="12" t="s">
        <v>67</v>
      </c>
      <c r="G162" s="29">
        <v>2164</v>
      </c>
    </row>
    <row r="163" spans="4:7" ht="51.75">
      <c r="D163" s="83" t="s">
        <v>68</v>
      </c>
      <c r="E163" s="83" t="s">
        <v>1577</v>
      </c>
      <c r="F163" s="12" t="s">
        <v>125</v>
      </c>
      <c r="G163" s="29">
        <v>23.4</v>
      </c>
    </row>
    <row r="164" spans="4:7" ht="51.75">
      <c r="D164" s="83" t="s">
        <v>126</v>
      </c>
      <c r="E164" s="83" t="s">
        <v>1577</v>
      </c>
      <c r="F164" s="12" t="s">
        <v>127</v>
      </c>
      <c r="G164" s="29">
        <v>4968.7</v>
      </c>
    </row>
    <row r="165" spans="4:7" ht="39">
      <c r="D165" s="83" t="s">
        <v>2185</v>
      </c>
      <c r="E165" s="83" t="s">
        <v>1577</v>
      </c>
      <c r="F165" s="12" t="s">
        <v>1443</v>
      </c>
      <c r="G165" s="29">
        <v>232.44</v>
      </c>
    </row>
    <row r="166" spans="4:7" ht="39">
      <c r="D166" s="83"/>
      <c r="E166" s="83" t="s">
        <v>1577</v>
      </c>
      <c r="F166" s="12" t="s">
        <v>1446</v>
      </c>
      <c r="G166" s="29">
        <v>12568.06</v>
      </c>
    </row>
    <row r="167" spans="4:7" ht="51.75">
      <c r="D167" s="83" t="s">
        <v>128</v>
      </c>
      <c r="E167" s="83" t="s">
        <v>1578</v>
      </c>
      <c r="F167" s="12" t="s">
        <v>129</v>
      </c>
      <c r="G167" s="29">
        <v>638.02</v>
      </c>
    </row>
    <row r="168" spans="4:7" ht="64.5">
      <c r="D168" s="83" t="s">
        <v>130</v>
      </c>
      <c r="E168" s="83" t="s">
        <v>1578</v>
      </c>
      <c r="F168" s="12" t="s">
        <v>131</v>
      </c>
      <c r="G168" s="29">
        <v>1291.76</v>
      </c>
    </row>
    <row r="169" spans="4:7" ht="64.5">
      <c r="D169" s="83" t="s">
        <v>2180</v>
      </c>
      <c r="E169" s="83" t="s">
        <v>1578</v>
      </c>
      <c r="F169" s="12" t="s">
        <v>132</v>
      </c>
      <c r="G169" s="29">
        <v>608.88</v>
      </c>
    </row>
    <row r="170" spans="4:7" ht="26.25">
      <c r="D170" s="83" t="s">
        <v>133</v>
      </c>
      <c r="E170" s="83" t="s">
        <v>1578</v>
      </c>
      <c r="F170" s="12" t="s">
        <v>134</v>
      </c>
      <c r="G170" s="29">
        <v>230.2</v>
      </c>
    </row>
    <row r="171" spans="4:7" ht="39">
      <c r="D171" s="83"/>
      <c r="E171" s="83"/>
      <c r="F171" s="12" t="s">
        <v>1446</v>
      </c>
      <c r="G171" s="29">
        <v>12568.06</v>
      </c>
    </row>
    <row r="172" spans="4:7" ht="26.25">
      <c r="D172" s="83" t="s">
        <v>135</v>
      </c>
      <c r="E172" s="83" t="s">
        <v>1579</v>
      </c>
      <c r="F172" s="12" t="s">
        <v>136</v>
      </c>
      <c r="G172" s="29">
        <v>75.44</v>
      </c>
    </row>
    <row r="173" spans="4:7" ht="51.75">
      <c r="D173" s="83" t="s">
        <v>18</v>
      </c>
      <c r="E173" s="83" t="s">
        <v>1579</v>
      </c>
      <c r="F173" s="12" t="s">
        <v>1498</v>
      </c>
      <c r="G173" s="29">
        <v>9344.43</v>
      </c>
    </row>
    <row r="174" spans="4:7" ht="51.75">
      <c r="D174" s="83" t="s">
        <v>2</v>
      </c>
      <c r="E174" s="83" t="s">
        <v>1579</v>
      </c>
      <c r="F174" s="12" t="s">
        <v>2184</v>
      </c>
      <c r="G174" s="29">
        <v>2302.08</v>
      </c>
    </row>
    <row r="175" spans="4:7" ht="39">
      <c r="D175" s="83"/>
      <c r="E175" s="83" t="s">
        <v>1579</v>
      </c>
      <c r="F175" s="12" t="s">
        <v>1446</v>
      </c>
      <c r="G175" s="29">
        <v>12568.06</v>
      </c>
    </row>
    <row r="176" spans="4:7" ht="77.25">
      <c r="D176" s="83" t="s">
        <v>137</v>
      </c>
      <c r="E176" s="83" t="s">
        <v>1580</v>
      </c>
      <c r="F176" s="12" t="s">
        <v>138</v>
      </c>
      <c r="G176" s="29">
        <v>420.9</v>
      </c>
    </row>
    <row r="177" spans="4:7" ht="64.5">
      <c r="D177" s="83" t="s">
        <v>139</v>
      </c>
      <c r="E177" s="83" t="s">
        <v>1580</v>
      </c>
      <c r="F177" s="12" t="s">
        <v>179</v>
      </c>
      <c r="G177" s="29">
        <v>578.08</v>
      </c>
    </row>
    <row r="178" spans="4:7" ht="39">
      <c r="D178" s="83" t="s">
        <v>180</v>
      </c>
      <c r="E178" s="83" t="s">
        <v>1580</v>
      </c>
      <c r="F178" s="12" t="s">
        <v>181</v>
      </c>
      <c r="G178" s="29">
        <v>81.17</v>
      </c>
    </row>
    <row r="179" spans="4:7" ht="26.25">
      <c r="D179" s="83" t="s">
        <v>182</v>
      </c>
      <c r="E179" s="83" t="s">
        <v>1580</v>
      </c>
      <c r="F179" s="12" t="s">
        <v>183</v>
      </c>
      <c r="G179" s="29">
        <v>198.44</v>
      </c>
    </row>
    <row r="180" spans="4:7" ht="39">
      <c r="D180" s="83" t="s">
        <v>184</v>
      </c>
      <c r="E180" s="83" t="s">
        <v>1580</v>
      </c>
      <c r="F180" s="12" t="s">
        <v>185</v>
      </c>
      <c r="G180" s="29">
        <v>2181.05</v>
      </c>
    </row>
    <row r="181" spans="4:7" ht="39">
      <c r="D181" s="83"/>
      <c r="E181" s="83" t="s">
        <v>1580</v>
      </c>
      <c r="F181" s="12" t="s">
        <v>1446</v>
      </c>
      <c r="G181" s="29">
        <v>12568.06</v>
      </c>
    </row>
    <row r="182" spans="4:7" ht="26.25">
      <c r="D182" s="83" t="s">
        <v>1703</v>
      </c>
      <c r="E182" s="83" t="s">
        <v>1581</v>
      </c>
      <c r="F182" s="12" t="s">
        <v>186</v>
      </c>
      <c r="G182" s="29">
        <v>255.27</v>
      </c>
    </row>
    <row r="183" spans="4:7" ht="102.75">
      <c r="D183" s="83" t="s">
        <v>1704</v>
      </c>
      <c r="E183" s="83" t="s">
        <v>1581</v>
      </c>
      <c r="F183" s="12" t="s">
        <v>187</v>
      </c>
      <c r="G183" s="29">
        <v>2181.36</v>
      </c>
    </row>
    <row r="184" spans="4:7" ht="51.75">
      <c r="D184" s="83" t="s">
        <v>1708</v>
      </c>
      <c r="E184" s="83" t="s">
        <v>1581</v>
      </c>
      <c r="F184" s="12" t="s">
        <v>188</v>
      </c>
      <c r="G184" s="29">
        <v>6075.35</v>
      </c>
    </row>
    <row r="185" spans="4:7" ht="39">
      <c r="D185" s="83" t="s">
        <v>1510</v>
      </c>
      <c r="E185" s="83" t="s">
        <v>1581</v>
      </c>
      <c r="F185" s="12" t="s">
        <v>1511</v>
      </c>
      <c r="G185" s="29">
        <v>23727</v>
      </c>
    </row>
    <row r="186" spans="4:7" ht="39">
      <c r="D186" s="83" t="s">
        <v>1512</v>
      </c>
      <c r="E186" s="83" t="s">
        <v>1581</v>
      </c>
      <c r="F186" s="12" t="s">
        <v>1511</v>
      </c>
      <c r="G186" s="29">
        <v>11856</v>
      </c>
    </row>
    <row r="187" spans="4:7" ht="51.75">
      <c r="D187" s="83" t="s">
        <v>1513</v>
      </c>
      <c r="E187" s="83" t="s">
        <v>57</v>
      </c>
      <c r="F187" s="12" t="s">
        <v>1514</v>
      </c>
      <c r="G187" s="29">
        <v>15501</v>
      </c>
    </row>
    <row r="188" spans="4:7" ht="26.25">
      <c r="D188" s="83" t="s">
        <v>1444</v>
      </c>
      <c r="E188" s="83" t="s">
        <v>1581</v>
      </c>
      <c r="F188" s="12" t="s">
        <v>1717</v>
      </c>
      <c r="G188" s="29">
        <v>1166.88</v>
      </c>
    </row>
    <row r="189" spans="4:7" ht="39">
      <c r="D189" s="83" t="s">
        <v>2</v>
      </c>
      <c r="E189" s="83" t="s">
        <v>1581</v>
      </c>
      <c r="F189" s="12" t="s">
        <v>1445</v>
      </c>
      <c r="G189" s="29">
        <v>121</v>
      </c>
    </row>
    <row r="190" spans="4:7" ht="39">
      <c r="D190" s="83"/>
      <c r="E190" s="83" t="s">
        <v>1581</v>
      </c>
      <c r="F190" s="12" t="s">
        <v>1446</v>
      </c>
      <c r="G190" s="29">
        <v>12035.52</v>
      </c>
    </row>
    <row r="191" spans="4:7" ht="64.5">
      <c r="D191" s="83" t="s">
        <v>1515</v>
      </c>
      <c r="E191" s="83" t="s">
        <v>1582</v>
      </c>
      <c r="F191" s="12" t="s">
        <v>24</v>
      </c>
      <c r="G191" s="29">
        <v>2188.54</v>
      </c>
    </row>
    <row r="192" spans="4:7" ht="39">
      <c r="D192" s="83" t="s">
        <v>39</v>
      </c>
      <c r="E192" s="83" t="s">
        <v>1582</v>
      </c>
      <c r="F192" s="12" t="s">
        <v>25</v>
      </c>
      <c r="G192" s="29">
        <v>622.05</v>
      </c>
    </row>
    <row r="193" spans="4:7" ht="39">
      <c r="D193" s="83"/>
      <c r="E193" s="83" t="s">
        <v>1582</v>
      </c>
      <c r="F193" s="12" t="s">
        <v>1446</v>
      </c>
      <c r="G193" s="29">
        <v>12035.52</v>
      </c>
    </row>
    <row r="194" spans="4:7" ht="51.75">
      <c r="D194" s="83" t="s">
        <v>26</v>
      </c>
      <c r="E194" s="83" t="s">
        <v>1583</v>
      </c>
      <c r="F194" s="12" t="s">
        <v>27</v>
      </c>
      <c r="G194" s="29">
        <v>12679.72</v>
      </c>
    </row>
    <row r="195" spans="4:7" ht="51.75">
      <c r="D195" s="83" t="s">
        <v>43</v>
      </c>
      <c r="E195" s="83" t="s">
        <v>1583</v>
      </c>
      <c r="F195" s="12" t="s">
        <v>28</v>
      </c>
      <c r="G195" s="29">
        <v>209.62</v>
      </c>
    </row>
    <row r="196" spans="4:7" ht="39">
      <c r="D196" s="83"/>
      <c r="E196" s="83" t="s">
        <v>1583</v>
      </c>
      <c r="F196" s="12" t="s">
        <v>1446</v>
      </c>
      <c r="G196" s="29">
        <v>12035.52</v>
      </c>
    </row>
    <row r="197" spans="4:7" ht="39">
      <c r="D197" s="83" t="s">
        <v>29</v>
      </c>
      <c r="E197" s="83" t="s">
        <v>1584</v>
      </c>
      <c r="F197" s="12" t="s">
        <v>30</v>
      </c>
      <c r="G197" s="29">
        <v>5599.21</v>
      </c>
    </row>
    <row r="198" spans="4:7" ht="26.25">
      <c r="D198" s="83" t="s">
        <v>31</v>
      </c>
      <c r="E198" s="83" t="s">
        <v>1584</v>
      </c>
      <c r="F198" s="12" t="s">
        <v>32</v>
      </c>
      <c r="G198" s="29">
        <v>1102.89</v>
      </c>
    </row>
    <row r="199" spans="4:7" ht="77.25">
      <c r="D199" s="83" t="s">
        <v>33</v>
      </c>
      <c r="E199" s="83" t="s">
        <v>1584</v>
      </c>
      <c r="F199" s="12" t="s">
        <v>2183</v>
      </c>
      <c r="G199" s="29">
        <v>11179.65</v>
      </c>
    </row>
    <row r="200" spans="4:7" ht="39">
      <c r="D200" s="83"/>
      <c r="E200" s="83" t="s">
        <v>1584</v>
      </c>
      <c r="F200" s="12" t="s">
        <v>1446</v>
      </c>
      <c r="G200" s="29">
        <v>12035.52</v>
      </c>
    </row>
    <row r="201" spans="4:7" ht="39">
      <c r="D201" s="83"/>
      <c r="E201" s="83"/>
      <c r="F201" s="12" t="s">
        <v>59</v>
      </c>
      <c r="G201" s="29">
        <v>49704.2</v>
      </c>
    </row>
    <row r="202" spans="4:7" ht="15">
      <c r="D202" s="83"/>
      <c r="E202" s="83"/>
      <c r="F202" s="12" t="s">
        <v>58</v>
      </c>
      <c r="G202" s="29">
        <v>29822.52</v>
      </c>
    </row>
    <row r="203" spans="4:7" ht="15">
      <c r="D203" s="83"/>
      <c r="E203" s="83"/>
      <c r="F203" s="12" t="s">
        <v>1447</v>
      </c>
      <c r="G203" s="12">
        <v>46295.91</v>
      </c>
    </row>
    <row r="204" spans="4:7" ht="26.25">
      <c r="D204" s="83"/>
      <c r="E204" s="83"/>
      <c r="F204" s="12" t="s">
        <v>0</v>
      </c>
      <c r="G204" s="12">
        <v>3124.26</v>
      </c>
    </row>
    <row r="205" spans="4:7" ht="26.25">
      <c r="D205" s="83"/>
      <c r="E205" s="83"/>
      <c r="F205" s="12" t="s">
        <v>1448</v>
      </c>
      <c r="G205" s="12">
        <v>62092.83</v>
      </c>
    </row>
    <row r="206" spans="4:7" ht="15">
      <c r="D206" s="83"/>
      <c r="E206" s="83"/>
      <c r="F206" s="12" t="s">
        <v>60</v>
      </c>
      <c r="G206" s="29">
        <f>SUM(G159:G205)</f>
        <v>416316.71</v>
      </c>
    </row>
    <row r="207" spans="4:7" ht="64.5">
      <c r="D207" s="83"/>
      <c r="E207" s="83"/>
      <c r="F207" s="12" t="s">
        <v>1449</v>
      </c>
      <c r="G207" s="12">
        <v>530225.86</v>
      </c>
    </row>
    <row r="208" spans="4:7" ht="64.5">
      <c r="D208" s="83"/>
      <c r="E208" s="83"/>
      <c r="F208" s="12" t="s">
        <v>1450</v>
      </c>
      <c r="G208" s="12">
        <v>72617.12</v>
      </c>
    </row>
    <row r="209" spans="4:7" ht="64.5">
      <c r="D209" s="83"/>
      <c r="E209" s="83"/>
      <c r="F209" s="12" t="s">
        <v>1655</v>
      </c>
      <c r="G209" s="12">
        <v>351422.35</v>
      </c>
    </row>
    <row r="210" spans="4:7" ht="51.75">
      <c r="D210" s="83"/>
      <c r="E210" s="83"/>
      <c r="F210" s="12" t="s">
        <v>1656</v>
      </c>
      <c r="G210" s="12">
        <v>48471.86</v>
      </c>
    </row>
    <row r="211" spans="4:7" ht="39">
      <c r="D211" s="83"/>
      <c r="E211" s="83"/>
      <c r="F211" s="12" t="s">
        <v>1657</v>
      </c>
      <c r="G211" s="12">
        <v>-16422.5</v>
      </c>
    </row>
  </sheetData>
  <sheetProtection/>
  <mergeCells count="35">
    <mergeCell ref="A1:E1"/>
    <mergeCell ref="A13:D13"/>
    <mergeCell ref="A23:D23"/>
    <mergeCell ref="A37:D37"/>
    <mergeCell ref="B3:C3"/>
    <mergeCell ref="B4:C4"/>
    <mergeCell ref="A5:D5"/>
    <mergeCell ref="A10:D10"/>
    <mergeCell ref="A45:D45"/>
    <mergeCell ref="A86:D86"/>
    <mergeCell ref="A68:D68"/>
    <mergeCell ref="A70:D70"/>
    <mergeCell ref="A58:D58"/>
    <mergeCell ref="A59:D59"/>
    <mergeCell ref="A66:D66"/>
    <mergeCell ref="B104:D104"/>
    <mergeCell ref="B96:D96"/>
    <mergeCell ref="B97:D97"/>
    <mergeCell ref="B98:D98"/>
    <mergeCell ref="B99:D99"/>
    <mergeCell ref="B102:D102"/>
    <mergeCell ref="B103:D103"/>
    <mergeCell ref="B101:D101"/>
    <mergeCell ref="B90:D90"/>
    <mergeCell ref="B89:D89"/>
    <mergeCell ref="A79:D79"/>
    <mergeCell ref="A85:D85"/>
    <mergeCell ref="B87:D87"/>
    <mergeCell ref="B88:D88"/>
    <mergeCell ref="B94:D94"/>
    <mergeCell ref="B100:D100"/>
    <mergeCell ref="B93:D93"/>
    <mergeCell ref="B91:D91"/>
    <mergeCell ref="B95:D95"/>
    <mergeCell ref="B92:D92"/>
  </mergeCells>
  <printOptions/>
  <pageMargins left="0.31" right="0.25" top="0.27" bottom="0.19" header="0.22" footer="0.17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4"/>
  <sheetViews>
    <sheetView zoomScalePageLayoutView="0" workbookViewId="0" topLeftCell="A22">
      <selection activeCell="E105" sqref="A1:E105"/>
    </sheetView>
  </sheetViews>
  <sheetFormatPr defaultColWidth="13.421875" defaultRowHeight="12.75" outlineLevelRow="2"/>
  <cols>
    <col min="1" max="1" width="3.00390625" style="1" customWidth="1"/>
    <col min="2" max="2" width="11.8515625" style="1" customWidth="1"/>
    <col min="3" max="3" width="14.7109375" style="1" customWidth="1"/>
    <col min="4" max="4" width="74.00390625" style="1" customWidth="1"/>
    <col min="5" max="5" width="14.57421875" style="1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315" t="s">
        <v>1865</v>
      </c>
      <c r="B1" s="315"/>
      <c r="C1" s="315"/>
      <c r="D1" s="315"/>
      <c r="E1" s="316"/>
    </row>
    <row r="2" spans="1:6" ht="15">
      <c r="A2" s="42"/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115"/>
      <c r="B3" s="309"/>
      <c r="C3" s="309"/>
      <c r="D3" s="142" t="s">
        <v>1575</v>
      </c>
      <c r="E3" s="130">
        <f>E4+E6</f>
        <v>141693.66</v>
      </c>
    </row>
    <row r="4" spans="1:5" ht="12.75" customHeight="1" outlineLevel="1">
      <c r="A4" s="255" t="s">
        <v>1589</v>
      </c>
      <c r="B4" s="256"/>
      <c r="C4" s="256"/>
      <c r="D4" s="257"/>
      <c r="E4" s="105">
        <f>SUM(E5:E5)</f>
        <v>48397.66</v>
      </c>
    </row>
    <row r="5" spans="1:6" ht="15" outlineLevel="2">
      <c r="A5" s="81"/>
      <c r="B5" s="84" t="s">
        <v>2394</v>
      </c>
      <c r="C5" s="84" t="s">
        <v>1580</v>
      </c>
      <c r="D5" s="84" t="s">
        <v>2071</v>
      </c>
      <c r="E5" s="106">
        <v>48397.66</v>
      </c>
      <c r="F5" s="14"/>
    </row>
    <row r="6" spans="1:5" ht="13.5" customHeight="1" outlineLevel="1">
      <c r="A6" s="255" t="s">
        <v>1599</v>
      </c>
      <c r="B6" s="256"/>
      <c r="C6" s="256"/>
      <c r="D6" s="257"/>
      <c r="E6" s="105">
        <f>SUM(E7:E10)</f>
        <v>93296</v>
      </c>
    </row>
    <row r="7" spans="1:6" ht="15" outlineLevel="2">
      <c r="A7" s="42"/>
      <c r="B7" s="82" t="s">
        <v>696</v>
      </c>
      <c r="C7" s="82" t="s">
        <v>1577</v>
      </c>
      <c r="D7" s="82" t="s">
        <v>698</v>
      </c>
      <c r="E7" s="106">
        <v>4857.8</v>
      </c>
      <c r="F7" s="14"/>
    </row>
    <row r="8" spans="1:6" ht="14.25" customHeight="1" outlineLevel="2">
      <c r="A8" s="42"/>
      <c r="B8" s="83" t="s">
        <v>1115</v>
      </c>
      <c r="C8" s="83" t="s">
        <v>1577</v>
      </c>
      <c r="D8" s="83" t="s">
        <v>1116</v>
      </c>
      <c r="E8" s="106">
        <v>10138.65</v>
      </c>
      <c r="F8" s="14"/>
    </row>
    <row r="9" spans="1:6" ht="15" outlineLevel="2">
      <c r="A9" s="42"/>
      <c r="B9" s="83" t="s">
        <v>1691</v>
      </c>
      <c r="C9" s="83" t="s">
        <v>1582</v>
      </c>
      <c r="D9" s="83" t="s">
        <v>821</v>
      </c>
      <c r="E9" s="106">
        <v>45654.12</v>
      </c>
      <c r="F9" s="14"/>
    </row>
    <row r="10" spans="1:6" ht="15" outlineLevel="2">
      <c r="A10" s="42"/>
      <c r="B10" s="83" t="s">
        <v>327</v>
      </c>
      <c r="C10" s="83" t="s">
        <v>1586</v>
      </c>
      <c r="D10" s="83" t="s">
        <v>328</v>
      </c>
      <c r="E10" s="106">
        <v>32645.43</v>
      </c>
      <c r="F10" s="14"/>
    </row>
    <row r="11" spans="1:5" ht="13.5" customHeight="1">
      <c r="A11" s="140"/>
      <c r="B11" s="309"/>
      <c r="C11" s="309"/>
      <c r="D11" s="142" t="s">
        <v>1600</v>
      </c>
      <c r="E11" s="130">
        <f>E12+E20+E25+E33+E38+E40+E45+E58+E69+E71+E80+E85+E86+E87</f>
        <v>293433.42000000004</v>
      </c>
    </row>
    <row r="12" spans="1:5" ht="15" customHeight="1" outlineLevel="1">
      <c r="A12" s="255" t="s">
        <v>1576</v>
      </c>
      <c r="B12" s="256"/>
      <c r="C12" s="256"/>
      <c r="D12" s="257"/>
      <c r="E12" s="105">
        <f>SUM(E13:E19)</f>
        <v>8028.85</v>
      </c>
    </row>
    <row r="13" spans="1:6" ht="30" outlineLevel="2">
      <c r="A13" s="42"/>
      <c r="B13" s="83" t="s">
        <v>872</v>
      </c>
      <c r="C13" s="83" t="s">
        <v>1578</v>
      </c>
      <c r="D13" s="83" t="s">
        <v>1488</v>
      </c>
      <c r="E13" s="106">
        <v>647.5</v>
      </c>
      <c r="F13" s="14"/>
    </row>
    <row r="14" spans="1:6" ht="15" outlineLevel="2">
      <c r="A14" s="42"/>
      <c r="B14" s="83" t="s">
        <v>885</v>
      </c>
      <c r="C14" s="83" t="s">
        <v>1578</v>
      </c>
      <c r="D14" s="83" t="s">
        <v>888</v>
      </c>
      <c r="E14" s="106">
        <v>674.55</v>
      </c>
      <c r="F14" s="14"/>
    </row>
    <row r="15" spans="1:6" ht="15" outlineLevel="2">
      <c r="A15" s="42"/>
      <c r="B15" s="83" t="s">
        <v>2</v>
      </c>
      <c r="C15" s="83" t="s">
        <v>1580</v>
      </c>
      <c r="D15" s="83" t="s">
        <v>2277</v>
      </c>
      <c r="E15" s="106">
        <v>59.95</v>
      </c>
      <c r="F15" s="14"/>
    </row>
    <row r="16" spans="1:6" ht="19.5" customHeight="1" outlineLevel="2">
      <c r="A16" s="42"/>
      <c r="B16" s="83" t="s">
        <v>1249</v>
      </c>
      <c r="C16" s="83" t="s">
        <v>1581</v>
      </c>
      <c r="D16" s="83" t="s">
        <v>2032</v>
      </c>
      <c r="E16" s="106">
        <v>5028.6</v>
      </c>
      <c r="F16" s="14"/>
    </row>
    <row r="17" spans="1:6" ht="28.5" customHeight="1" outlineLevel="2">
      <c r="A17" s="42"/>
      <c r="B17" s="83" t="s">
        <v>508</v>
      </c>
      <c r="C17" s="83" t="s">
        <v>1582</v>
      </c>
      <c r="D17" s="83" t="s">
        <v>509</v>
      </c>
      <c r="E17" s="106">
        <v>461.18</v>
      </c>
      <c r="F17" s="14"/>
    </row>
    <row r="18" spans="1:6" ht="15" outlineLevel="2">
      <c r="A18" s="42"/>
      <c r="B18" s="83"/>
      <c r="C18" s="83" t="s">
        <v>1583</v>
      </c>
      <c r="D18" s="83" t="s">
        <v>509</v>
      </c>
      <c r="E18" s="106">
        <v>1076.92</v>
      </c>
      <c r="F18" s="14"/>
    </row>
    <row r="19" spans="1:6" ht="15" outlineLevel="2">
      <c r="A19" s="42"/>
      <c r="B19" s="83" t="s">
        <v>2</v>
      </c>
      <c r="C19" s="83" t="s">
        <v>1583</v>
      </c>
      <c r="D19" s="83" t="s">
        <v>855</v>
      </c>
      <c r="E19" s="106">
        <v>80.15</v>
      </c>
      <c r="F19" s="14"/>
    </row>
    <row r="20" spans="1:5" ht="12.75" customHeight="1" outlineLevel="1">
      <c r="A20" s="255" t="s">
        <v>1589</v>
      </c>
      <c r="B20" s="256"/>
      <c r="C20" s="256"/>
      <c r="D20" s="257"/>
      <c r="E20" s="105">
        <f>SUM(E21:E24)</f>
        <v>10057.29</v>
      </c>
    </row>
    <row r="21" spans="1:6" ht="30" customHeight="1" outlineLevel="2">
      <c r="A21" s="42"/>
      <c r="B21" s="83" t="s">
        <v>2429</v>
      </c>
      <c r="C21" s="83" t="s">
        <v>1578</v>
      </c>
      <c r="D21" s="83" t="s">
        <v>2500</v>
      </c>
      <c r="E21" s="106">
        <v>5277.61</v>
      </c>
      <c r="F21" s="14"/>
    </row>
    <row r="22" spans="1:6" ht="15" outlineLevel="2">
      <c r="A22" s="42"/>
      <c r="B22" s="83" t="s">
        <v>2182</v>
      </c>
      <c r="C22" s="83" t="s">
        <v>1580</v>
      </c>
      <c r="D22" s="83" t="s">
        <v>1176</v>
      </c>
      <c r="E22" s="106">
        <v>32.7</v>
      </c>
      <c r="F22" s="14"/>
    </row>
    <row r="23" spans="1:6" ht="15" outlineLevel="2">
      <c r="A23" s="42"/>
      <c r="B23" s="83" t="s">
        <v>433</v>
      </c>
      <c r="C23" s="83" t="s">
        <v>1581</v>
      </c>
      <c r="D23" s="83" t="s">
        <v>2106</v>
      </c>
      <c r="E23" s="106">
        <v>32.27</v>
      </c>
      <c r="F23" s="14"/>
    </row>
    <row r="24" spans="1:6" ht="30" outlineLevel="2">
      <c r="A24" s="42"/>
      <c r="B24" s="83" t="s">
        <v>1353</v>
      </c>
      <c r="C24" s="83" t="s">
        <v>1586</v>
      </c>
      <c r="D24" s="83" t="s">
        <v>1354</v>
      </c>
      <c r="E24" s="106">
        <v>4714.71</v>
      </c>
      <c r="F24" s="14"/>
    </row>
    <row r="25" spans="1:5" ht="14.25" customHeight="1" outlineLevel="1">
      <c r="A25" s="255" t="s">
        <v>1590</v>
      </c>
      <c r="B25" s="256"/>
      <c r="C25" s="256"/>
      <c r="D25" s="257"/>
      <c r="E25" s="105">
        <f>SUM(E26:E32)</f>
        <v>12923.470000000001</v>
      </c>
    </row>
    <row r="26" spans="1:6" ht="15" outlineLevel="2">
      <c r="A26" s="42"/>
      <c r="B26" s="87" t="s">
        <v>1701</v>
      </c>
      <c r="C26" s="83" t="s">
        <v>1580</v>
      </c>
      <c r="D26" s="83" t="s">
        <v>835</v>
      </c>
      <c r="E26" s="106">
        <v>123.5</v>
      </c>
      <c r="F26" s="14"/>
    </row>
    <row r="27" spans="1:6" ht="15" outlineLevel="2">
      <c r="A27" s="42"/>
      <c r="B27" s="87" t="s">
        <v>1708</v>
      </c>
      <c r="C27" s="83" t="s">
        <v>1581</v>
      </c>
      <c r="D27" s="83" t="s">
        <v>2096</v>
      </c>
      <c r="E27" s="106">
        <v>1213.75</v>
      </c>
      <c r="F27" s="14"/>
    </row>
    <row r="28" spans="1:6" ht="15" outlineLevel="2">
      <c r="A28" s="42"/>
      <c r="B28" s="87" t="s">
        <v>26</v>
      </c>
      <c r="C28" s="83" t="s">
        <v>1583</v>
      </c>
      <c r="D28" s="83" t="s">
        <v>1148</v>
      </c>
      <c r="E28" s="106">
        <v>4197.34</v>
      </c>
      <c r="F28" s="14"/>
    </row>
    <row r="29" spans="1:6" ht="15" customHeight="1" outlineLevel="2">
      <c r="A29" s="42"/>
      <c r="B29" s="87" t="s">
        <v>2</v>
      </c>
      <c r="C29" s="83" t="s">
        <v>1584</v>
      </c>
      <c r="D29" s="83" t="s">
        <v>760</v>
      </c>
      <c r="E29" s="106">
        <v>5627.7</v>
      </c>
      <c r="F29" s="14"/>
    </row>
    <row r="30" spans="1:6" ht="30" outlineLevel="2">
      <c r="A30" s="42"/>
      <c r="B30" s="87" t="s">
        <v>192</v>
      </c>
      <c r="C30" s="83" t="s">
        <v>1586</v>
      </c>
      <c r="D30" s="83" t="s">
        <v>783</v>
      </c>
      <c r="E30" s="106">
        <v>1470.65</v>
      </c>
      <c r="F30" s="14"/>
    </row>
    <row r="31" spans="1:6" ht="15" outlineLevel="2">
      <c r="A31" s="42"/>
      <c r="B31" s="87" t="s">
        <v>1199</v>
      </c>
      <c r="C31" s="83" t="s">
        <v>1587</v>
      </c>
      <c r="D31" s="83" t="s">
        <v>1144</v>
      </c>
      <c r="E31" s="106">
        <v>45.53</v>
      </c>
      <c r="F31" s="14"/>
    </row>
    <row r="32" spans="1:6" ht="15" outlineLevel="2">
      <c r="A32" s="42"/>
      <c r="B32" s="87" t="s">
        <v>1939</v>
      </c>
      <c r="C32" s="83" t="s">
        <v>1588</v>
      </c>
      <c r="D32" s="83" t="s">
        <v>1940</v>
      </c>
      <c r="E32" s="106">
        <v>245</v>
      </c>
      <c r="F32" s="14"/>
    </row>
    <row r="33" spans="1:5" ht="13.5" customHeight="1" outlineLevel="1">
      <c r="A33" s="255" t="s">
        <v>1591</v>
      </c>
      <c r="B33" s="256"/>
      <c r="C33" s="256"/>
      <c r="D33" s="257"/>
      <c r="E33" s="105">
        <f>SUM(E34:E37)</f>
        <v>10592.810000000001</v>
      </c>
    </row>
    <row r="34" spans="1:6" ht="30" outlineLevel="2">
      <c r="A34" s="42"/>
      <c r="B34" s="87" t="s">
        <v>2329</v>
      </c>
      <c r="C34" s="83" t="s">
        <v>1578</v>
      </c>
      <c r="D34" s="83" t="s">
        <v>1433</v>
      </c>
      <c r="E34" s="106">
        <v>2150.13</v>
      </c>
      <c r="F34" s="14"/>
    </row>
    <row r="35" spans="1:6" ht="15" outlineLevel="2">
      <c r="A35" s="42"/>
      <c r="B35" s="87" t="s">
        <v>768</v>
      </c>
      <c r="C35" s="83" t="s">
        <v>1578</v>
      </c>
      <c r="D35" s="83" t="s">
        <v>926</v>
      </c>
      <c r="E35" s="106">
        <v>1291.47</v>
      </c>
      <c r="F35" s="14"/>
    </row>
    <row r="36" spans="1:6" ht="15" outlineLevel="2">
      <c r="A36" s="42"/>
      <c r="B36" s="87" t="s">
        <v>52</v>
      </c>
      <c r="C36" s="83" t="s">
        <v>1583</v>
      </c>
      <c r="D36" s="83" t="s">
        <v>1157</v>
      </c>
      <c r="E36" s="106">
        <v>1668.44</v>
      </c>
      <c r="F36" s="14"/>
    </row>
    <row r="37" spans="1:6" ht="30" outlineLevel="2">
      <c r="A37" s="42"/>
      <c r="B37" s="87" t="s">
        <v>2472</v>
      </c>
      <c r="C37" s="83" t="s">
        <v>1585</v>
      </c>
      <c r="D37" s="83" t="s">
        <v>2473</v>
      </c>
      <c r="E37" s="106">
        <v>5482.77</v>
      </c>
      <c r="F37" s="14"/>
    </row>
    <row r="38" spans="1:5" ht="14.25" customHeight="1" outlineLevel="1">
      <c r="A38" s="255" t="s">
        <v>1594</v>
      </c>
      <c r="B38" s="256"/>
      <c r="C38" s="256"/>
      <c r="D38" s="257"/>
      <c r="E38" s="105">
        <f>SUM(E39:E39)</f>
        <v>1834.37</v>
      </c>
    </row>
    <row r="39" spans="1:6" ht="15" outlineLevel="2">
      <c r="A39" s="141"/>
      <c r="B39" s="88" t="s">
        <v>2</v>
      </c>
      <c r="C39" s="82" t="s">
        <v>1577</v>
      </c>
      <c r="D39" s="82" t="s">
        <v>1509</v>
      </c>
      <c r="E39" s="106">
        <v>1834.37</v>
      </c>
      <c r="F39" s="14"/>
    </row>
    <row r="40" spans="1:5" ht="14.25" customHeight="1" outlineLevel="1">
      <c r="A40" s="255" t="s">
        <v>1599</v>
      </c>
      <c r="B40" s="256"/>
      <c r="C40" s="256"/>
      <c r="D40" s="257"/>
      <c r="E40" s="105">
        <f>SUM(E41:E44)</f>
        <v>660.37</v>
      </c>
    </row>
    <row r="41" spans="1:6" ht="15" outlineLevel="2">
      <c r="A41" s="42"/>
      <c r="B41" s="83" t="s">
        <v>17</v>
      </c>
      <c r="C41" s="83" t="s">
        <v>1579</v>
      </c>
      <c r="D41" s="83" t="s">
        <v>2354</v>
      </c>
      <c r="E41" s="106">
        <v>435.81</v>
      </c>
      <c r="F41" s="14"/>
    </row>
    <row r="42" spans="1:6" ht="15" outlineLevel="2">
      <c r="A42" s="42"/>
      <c r="B42" s="83" t="s">
        <v>2108</v>
      </c>
      <c r="C42" s="83" t="s">
        <v>1581</v>
      </c>
      <c r="D42" s="83" t="s">
        <v>2109</v>
      </c>
      <c r="E42" s="106">
        <v>119.51</v>
      </c>
      <c r="F42" s="14"/>
    </row>
    <row r="43" spans="1:6" ht="15" outlineLevel="2">
      <c r="A43" s="42"/>
      <c r="B43" s="83" t="s">
        <v>2493</v>
      </c>
      <c r="C43" s="83" t="s">
        <v>1583</v>
      </c>
      <c r="D43" s="83" t="s">
        <v>2496</v>
      </c>
      <c r="E43" s="106">
        <v>59.05</v>
      </c>
      <c r="F43" s="14"/>
    </row>
    <row r="44" spans="1:6" ht="15" outlineLevel="2">
      <c r="A44" s="42"/>
      <c r="B44" s="83" t="s">
        <v>403</v>
      </c>
      <c r="C44" s="83" t="s">
        <v>1586</v>
      </c>
      <c r="D44" s="83" t="s">
        <v>404</v>
      </c>
      <c r="E44" s="106">
        <v>46</v>
      </c>
      <c r="F44" s="14"/>
    </row>
    <row r="45" spans="1:5" ht="15" customHeight="1" outlineLevel="1">
      <c r="A45" s="255" t="s">
        <v>1713</v>
      </c>
      <c r="B45" s="256"/>
      <c r="C45" s="256"/>
      <c r="D45" s="257"/>
      <c r="E45" s="105">
        <f>SUM(E46:E57)</f>
        <v>148663.15000000002</v>
      </c>
    </row>
    <row r="46" spans="1:6" ht="15" outlineLevel="2">
      <c r="A46" s="42"/>
      <c r="B46" s="82"/>
      <c r="C46" s="82" t="s">
        <v>1577</v>
      </c>
      <c r="D46" s="82" t="s">
        <v>1496</v>
      </c>
      <c r="E46" s="106">
        <v>12611.25</v>
      </c>
      <c r="F46" s="14"/>
    </row>
    <row r="47" spans="1:6" ht="15" outlineLevel="2">
      <c r="A47" s="42"/>
      <c r="B47" s="83"/>
      <c r="C47" s="83" t="s">
        <v>1578</v>
      </c>
      <c r="D47" s="83" t="s">
        <v>1496</v>
      </c>
      <c r="E47" s="106">
        <v>12611.25</v>
      </c>
      <c r="F47" s="14"/>
    </row>
    <row r="48" spans="1:6" ht="15" outlineLevel="2">
      <c r="A48" s="42"/>
      <c r="B48" s="83"/>
      <c r="C48" s="83" t="s">
        <v>1579</v>
      </c>
      <c r="D48" s="83" t="s">
        <v>1496</v>
      </c>
      <c r="E48" s="106">
        <v>12611.25</v>
      </c>
      <c r="F48" s="14"/>
    </row>
    <row r="49" spans="1:6" ht="15" outlineLevel="2">
      <c r="A49" s="42"/>
      <c r="B49" s="83"/>
      <c r="C49" s="83" t="s">
        <v>1580</v>
      </c>
      <c r="D49" s="83" t="s">
        <v>1496</v>
      </c>
      <c r="E49" s="106">
        <v>12611.25</v>
      </c>
      <c r="F49" s="14"/>
    </row>
    <row r="50" spans="1:6" ht="15" outlineLevel="2">
      <c r="A50" s="42"/>
      <c r="B50" s="83"/>
      <c r="C50" s="83" t="s">
        <v>1581</v>
      </c>
      <c r="D50" s="83" t="s">
        <v>1496</v>
      </c>
      <c r="E50" s="106">
        <v>12076.88</v>
      </c>
      <c r="F50" s="14"/>
    </row>
    <row r="51" spans="1:6" ht="15" outlineLevel="2">
      <c r="A51" s="42"/>
      <c r="B51" s="83"/>
      <c r="C51" s="83" t="s">
        <v>1582</v>
      </c>
      <c r="D51" s="83" t="s">
        <v>1496</v>
      </c>
      <c r="E51" s="106">
        <v>12076.88</v>
      </c>
      <c r="F51" s="14"/>
    </row>
    <row r="52" spans="1:6" ht="15" outlineLevel="2">
      <c r="A52" s="42"/>
      <c r="B52" s="83"/>
      <c r="C52" s="83" t="s">
        <v>1583</v>
      </c>
      <c r="D52" s="83" t="s">
        <v>1496</v>
      </c>
      <c r="E52" s="106">
        <v>12076.88</v>
      </c>
      <c r="F52" s="14"/>
    </row>
    <row r="53" spans="1:6" ht="15" outlineLevel="2">
      <c r="A53" s="42"/>
      <c r="B53" s="83"/>
      <c r="C53" s="83" t="s">
        <v>1584</v>
      </c>
      <c r="D53" s="83" t="s">
        <v>1496</v>
      </c>
      <c r="E53" s="106">
        <v>12076.88</v>
      </c>
      <c r="F53" s="14"/>
    </row>
    <row r="54" spans="1:6" ht="15" outlineLevel="2">
      <c r="A54" s="42"/>
      <c r="B54" s="83"/>
      <c r="C54" s="83" t="s">
        <v>1585</v>
      </c>
      <c r="D54" s="83" t="s">
        <v>1496</v>
      </c>
      <c r="E54" s="106">
        <v>12076.88</v>
      </c>
      <c r="F54" s="14"/>
    </row>
    <row r="55" spans="1:6" ht="15" outlineLevel="2">
      <c r="A55" s="42"/>
      <c r="B55" s="83"/>
      <c r="C55" s="83" t="s">
        <v>1586</v>
      </c>
      <c r="D55" s="83" t="s">
        <v>1496</v>
      </c>
      <c r="E55" s="106">
        <v>12611.25</v>
      </c>
      <c r="F55" s="14"/>
    </row>
    <row r="56" spans="1:6" ht="15" outlineLevel="2">
      <c r="A56" s="42"/>
      <c r="B56" s="83"/>
      <c r="C56" s="83" t="s">
        <v>1587</v>
      </c>
      <c r="D56" s="83" t="s">
        <v>1496</v>
      </c>
      <c r="E56" s="106">
        <v>12611.25</v>
      </c>
      <c r="F56" s="14"/>
    </row>
    <row r="57" spans="1:6" ht="15" outlineLevel="2">
      <c r="A57" s="42"/>
      <c r="B57" s="89"/>
      <c r="C57" s="83" t="s">
        <v>1588</v>
      </c>
      <c r="D57" s="83" t="s">
        <v>1496</v>
      </c>
      <c r="E57" s="106">
        <v>12611.25</v>
      </c>
      <c r="F57" s="14"/>
    </row>
    <row r="58" spans="1:5" ht="15" customHeight="1" outlineLevel="1">
      <c r="A58" s="255" t="s">
        <v>1715</v>
      </c>
      <c r="B58" s="256"/>
      <c r="C58" s="256"/>
      <c r="D58" s="257"/>
      <c r="E58" s="105">
        <f>SUM(E59:E68)</f>
        <v>6653.659999999999</v>
      </c>
    </row>
    <row r="59" spans="1:6" ht="15" outlineLevel="2">
      <c r="A59" s="42"/>
      <c r="B59" s="82" t="s">
        <v>66</v>
      </c>
      <c r="C59" s="82" t="s">
        <v>1577</v>
      </c>
      <c r="D59" s="82" t="s">
        <v>2179</v>
      </c>
      <c r="E59" s="106">
        <v>2164</v>
      </c>
      <c r="F59" s="14"/>
    </row>
    <row r="60" spans="1:6" ht="15" outlineLevel="2">
      <c r="A60" s="42"/>
      <c r="B60" s="83" t="s">
        <v>139</v>
      </c>
      <c r="C60" s="83" t="s">
        <v>1580</v>
      </c>
      <c r="D60" s="83" t="s">
        <v>2233</v>
      </c>
      <c r="E60" s="106">
        <v>578.08</v>
      </c>
      <c r="F60" s="14"/>
    </row>
    <row r="61" spans="1:6" ht="15" outlineLevel="2">
      <c r="A61" s="42"/>
      <c r="B61" s="83" t="s">
        <v>2</v>
      </c>
      <c r="C61" s="83" t="s">
        <v>1580</v>
      </c>
      <c r="D61" s="83" t="s">
        <v>2278</v>
      </c>
      <c r="E61" s="106">
        <v>212.16</v>
      </c>
      <c r="F61" s="14"/>
    </row>
    <row r="62" spans="1:6" ht="15" outlineLevel="2">
      <c r="A62" s="42"/>
      <c r="B62" s="83" t="s">
        <v>222</v>
      </c>
      <c r="C62" s="83" t="s">
        <v>1581</v>
      </c>
      <c r="D62" s="83" t="s">
        <v>223</v>
      </c>
      <c r="E62" s="106">
        <v>603.75</v>
      </c>
      <c r="F62" s="14"/>
    </row>
    <row r="63" spans="1:6" ht="15" outlineLevel="2">
      <c r="A63" s="42"/>
      <c r="B63" s="83" t="s">
        <v>1097</v>
      </c>
      <c r="C63" s="83" t="s">
        <v>1582</v>
      </c>
      <c r="D63" s="83" t="s">
        <v>1005</v>
      </c>
      <c r="E63" s="106">
        <v>1688</v>
      </c>
      <c r="F63" s="14"/>
    </row>
    <row r="64" spans="1:6" ht="30" outlineLevel="2">
      <c r="A64" s="42"/>
      <c r="B64" s="83" t="s">
        <v>850</v>
      </c>
      <c r="C64" s="83" t="s">
        <v>1582</v>
      </c>
      <c r="D64" s="83" t="s">
        <v>762</v>
      </c>
      <c r="E64" s="106">
        <v>250</v>
      </c>
      <c r="F64" s="14"/>
    </row>
    <row r="65" spans="1:6" ht="15" outlineLevel="2">
      <c r="A65" s="42"/>
      <c r="B65" s="83" t="s">
        <v>1634</v>
      </c>
      <c r="C65" s="83" t="s">
        <v>1585</v>
      </c>
      <c r="D65" s="83" t="s">
        <v>110</v>
      </c>
      <c r="E65" s="106">
        <v>328.36</v>
      </c>
      <c r="F65" s="14"/>
    </row>
    <row r="66" spans="1:6" ht="15" outlineLevel="2">
      <c r="A66" s="42"/>
      <c r="B66" s="83" t="s">
        <v>206</v>
      </c>
      <c r="C66" s="83" t="s">
        <v>1587</v>
      </c>
      <c r="D66" s="83" t="s">
        <v>207</v>
      </c>
      <c r="E66" s="106">
        <v>139.2</v>
      </c>
      <c r="F66" s="14"/>
    </row>
    <row r="67" spans="1:6" ht="15" outlineLevel="2">
      <c r="A67" s="42"/>
      <c r="B67" s="83" t="s">
        <v>1899</v>
      </c>
      <c r="C67" s="83" t="s">
        <v>1588</v>
      </c>
      <c r="D67" s="83" t="s">
        <v>1291</v>
      </c>
      <c r="E67" s="106">
        <v>322</v>
      </c>
      <c r="F67" s="14"/>
    </row>
    <row r="68" spans="1:6" ht="15" outlineLevel="2">
      <c r="A68" s="42"/>
      <c r="B68" s="83" t="s">
        <v>1958</v>
      </c>
      <c r="C68" s="83" t="s">
        <v>1588</v>
      </c>
      <c r="D68" s="83" t="s">
        <v>1960</v>
      </c>
      <c r="E68" s="106">
        <v>368.11</v>
      </c>
      <c r="F68" s="14"/>
    </row>
    <row r="69" spans="1:5" ht="11.25" customHeight="1" outlineLevel="1">
      <c r="A69" s="255" t="s">
        <v>1717</v>
      </c>
      <c r="B69" s="256"/>
      <c r="C69" s="256"/>
      <c r="D69" s="257"/>
      <c r="E69" s="105">
        <f>SUM(E70:E70)</f>
        <v>166.69</v>
      </c>
    </row>
    <row r="70" spans="1:6" ht="15" outlineLevel="2">
      <c r="A70" s="42"/>
      <c r="B70" s="83" t="s">
        <v>2</v>
      </c>
      <c r="C70" s="83" t="s">
        <v>1581</v>
      </c>
      <c r="D70" s="83" t="s">
        <v>2278</v>
      </c>
      <c r="E70" s="106">
        <v>166.69</v>
      </c>
      <c r="F70" s="14"/>
    </row>
    <row r="71" spans="1:5" ht="13.5" customHeight="1" outlineLevel="1">
      <c r="A71" s="255" t="s">
        <v>1595</v>
      </c>
      <c r="B71" s="256"/>
      <c r="C71" s="256"/>
      <c r="D71" s="257"/>
      <c r="E71" s="105">
        <f>SUM(E72:E79)</f>
        <v>20117.13</v>
      </c>
    </row>
    <row r="72" spans="1:6" ht="33" customHeight="1" outlineLevel="2">
      <c r="A72" s="42"/>
      <c r="B72" s="82" t="s">
        <v>5</v>
      </c>
      <c r="C72" s="82" t="s">
        <v>1577</v>
      </c>
      <c r="D72" s="82" t="s">
        <v>2196</v>
      </c>
      <c r="E72" s="106">
        <v>728.2</v>
      </c>
      <c r="F72" s="14"/>
    </row>
    <row r="73" spans="1:6" ht="15" outlineLevel="2">
      <c r="A73" s="42"/>
      <c r="B73" s="83" t="s">
        <v>2135</v>
      </c>
      <c r="C73" s="83" t="s">
        <v>1579</v>
      </c>
      <c r="D73" s="83" t="s">
        <v>499</v>
      </c>
      <c r="E73" s="106">
        <v>101.09</v>
      </c>
      <c r="F73" s="14"/>
    </row>
    <row r="74" spans="1:6" ht="15" outlineLevel="2">
      <c r="A74" s="42"/>
      <c r="B74" s="83" t="s">
        <v>1253</v>
      </c>
      <c r="C74" s="83" t="s">
        <v>1582</v>
      </c>
      <c r="D74" s="83" t="s">
        <v>418</v>
      </c>
      <c r="E74" s="106">
        <v>289.21</v>
      </c>
      <c r="F74" s="14"/>
    </row>
    <row r="75" spans="1:6" ht="15" outlineLevel="2">
      <c r="A75" s="42"/>
      <c r="B75" s="83" t="s">
        <v>1255</v>
      </c>
      <c r="C75" s="83" t="s">
        <v>1582</v>
      </c>
      <c r="D75" s="83" t="s">
        <v>1612</v>
      </c>
      <c r="E75" s="106">
        <v>1029.35</v>
      </c>
      <c r="F75" s="14"/>
    </row>
    <row r="76" spans="1:6" ht="15" outlineLevel="2">
      <c r="A76" s="42"/>
      <c r="B76" s="83" t="s">
        <v>520</v>
      </c>
      <c r="C76" s="83" t="s">
        <v>1584</v>
      </c>
      <c r="D76" s="83" t="s">
        <v>521</v>
      </c>
      <c r="E76" s="106">
        <v>15998</v>
      </c>
      <c r="F76" s="14"/>
    </row>
    <row r="77" spans="1:6" ht="15" outlineLevel="2">
      <c r="A77" s="42"/>
      <c r="B77" s="83" t="s">
        <v>564</v>
      </c>
      <c r="C77" s="83" t="s">
        <v>1586</v>
      </c>
      <c r="D77" s="83" t="s">
        <v>563</v>
      </c>
      <c r="E77" s="106">
        <v>961</v>
      </c>
      <c r="F77" s="14"/>
    </row>
    <row r="78" spans="1:6" ht="15" outlineLevel="2">
      <c r="A78" s="42"/>
      <c r="B78" s="83" t="s">
        <v>1192</v>
      </c>
      <c r="C78" s="83" t="s">
        <v>1587</v>
      </c>
      <c r="D78" s="83" t="s">
        <v>1194</v>
      </c>
      <c r="E78" s="106">
        <v>143.88</v>
      </c>
      <c r="F78" s="14"/>
    </row>
    <row r="79" spans="1:6" ht="15" outlineLevel="2">
      <c r="A79" s="42"/>
      <c r="B79" s="83" t="s">
        <v>984</v>
      </c>
      <c r="C79" s="83" t="s">
        <v>1588</v>
      </c>
      <c r="D79" s="83" t="s">
        <v>985</v>
      </c>
      <c r="E79" s="106">
        <v>866.4</v>
      </c>
      <c r="F79" s="14"/>
    </row>
    <row r="80" spans="1:5" ht="14.25" customHeight="1" outlineLevel="1">
      <c r="A80" s="255" t="s">
        <v>1718</v>
      </c>
      <c r="B80" s="256"/>
      <c r="C80" s="256"/>
      <c r="D80" s="257"/>
      <c r="E80" s="105">
        <f>E81+E82+E83+E84</f>
        <v>3878.9700000000003</v>
      </c>
    </row>
    <row r="81" spans="1:6" ht="15" outlineLevel="2">
      <c r="A81" s="42"/>
      <c r="B81" s="82" t="s">
        <v>2</v>
      </c>
      <c r="C81" s="82" t="s">
        <v>1577</v>
      </c>
      <c r="D81" s="82" t="s">
        <v>1897</v>
      </c>
      <c r="E81" s="106">
        <v>1834.4</v>
      </c>
      <c r="F81" s="14"/>
    </row>
    <row r="82" spans="1:6" ht="15" outlineLevel="2">
      <c r="A82" s="42"/>
      <c r="B82" s="83" t="s">
        <v>2</v>
      </c>
      <c r="C82" s="83" t="s">
        <v>57</v>
      </c>
      <c r="D82" s="83" t="s">
        <v>721</v>
      </c>
      <c r="E82" s="106">
        <v>120.73</v>
      </c>
      <c r="F82" s="14"/>
    </row>
    <row r="83" spans="1:6" ht="15" outlineLevel="2">
      <c r="A83" s="42"/>
      <c r="B83" s="83" t="s">
        <v>2</v>
      </c>
      <c r="C83" s="83" t="s">
        <v>1581</v>
      </c>
      <c r="D83" s="83" t="s">
        <v>2390</v>
      </c>
      <c r="E83" s="106">
        <v>1789.44</v>
      </c>
      <c r="F83" s="14"/>
    </row>
    <row r="84" spans="1:6" ht="15" outlineLevel="2">
      <c r="A84" s="42"/>
      <c r="B84" s="84" t="s">
        <v>2</v>
      </c>
      <c r="C84" s="84" t="s">
        <v>57</v>
      </c>
      <c r="D84" s="84" t="s">
        <v>936</v>
      </c>
      <c r="E84" s="106">
        <v>134.4</v>
      </c>
      <c r="F84" s="14"/>
    </row>
    <row r="85" spans="1:6" ht="13.5" customHeight="1" outlineLevel="2">
      <c r="A85" s="255" t="s">
        <v>1369</v>
      </c>
      <c r="B85" s="256"/>
      <c r="C85" s="256"/>
      <c r="D85" s="257"/>
      <c r="E85" s="105">
        <v>3166.66</v>
      </c>
      <c r="F85" s="14"/>
    </row>
    <row r="86" spans="1:6" ht="12.75" customHeight="1" outlineLevel="2">
      <c r="A86" s="255" t="s">
        <v>0</v>
      </c>
      <c r="B86" s="256"/>
      <c r="C86" s="256"/>
      <c r="D86" s="257"/>
      <c r="E86" s="105">
        <f>0.1*3562.5*12</f>
        <v>4275</v>
      </c>
      <c r="F86" s="14"/>
    </row>
    <row r="87" spans="1:6" ht="12.75" customHeight="1" outlineLevel="2">
      <c r="A87" s="255" t="s">
        <v>1714</v>
      </c>
      <c r="B87" s="256"/>
      <c r="C87" s="256"/>
      <c r="D87" s="257"/>
      <c r="E87" s="105">
        <f>1.46*3562.5*12</f>
        <v>62415</v>
      </c>
      <c r="F87" s="14"/>
    </row>
    <row r="88" spans="1:6" ht="15">
      <c r="A88" s="42"/>
      <c r="B88" s="273" t="s">
        <v>255</v>
      </c>
      <c r="C88" s="273"/>
      <c r="D88" s="273"/>
      <c r="E88" s="43">
        <f>0.94*3562.5*12</f>
        <v>40185</v>
      </c>
      <c r="F88" s="26"/>
    </row>
    <row r="89" spans="1:6" ht="14.25" customHeight="1">
      <c r="A89" s="42"/>
      <c r="B89" s="270" t="s">
        <v>59</v>
      </c>
      <c r="C89" s="270"/>
      <c r="D89" s="270"/>
      <c r="E89" s="43">
        <f>1.57*3562.5*12</f>
        <v>67117.5</v>
      </c>
      <c r="F89" s="14"/>
    </row>
    <row r="90" spans="1:6" ht="15">
      <c r="A90" s="42"/>
      <c r="B90" s="270" t="s">
        <v>256</v>
      </c>
      <c r="C90" s="270"/>
      <c r="D90" s="270"/>
      <c r="E90" s="43">
        <f>10.3*(E92+E93)/100</f>
        <v>94449.92880000001</v>
      </c>
      <c r="F90" s="14"/>
    </row>
    <row r="91" spans="1:5" ht="15">
      <c r="A91" s="42">
        <v>1</v>
      </c>
      <c r="B91" s="272" t="s">
        <v>659</v>
      </c>
      <c r="C91" s="272"/>
      <c r="D91" s="272"/>
      <c r="E91" s="44">
        <f>E90+E89+E88+E11+E3</f>
        <v>636879.5088000001</v>
      </c>
    </row>
    <row r="92" spans="1:6" ht="15">
      <c r="A92" s="42">
        <v>2</v>
      </c>
      <c r="B92" s="270" t="s">
        <v>258</v>
      </c>
      <c r="C92" s="270"/>
      <c r="D92" s="270"/>
      <c r="E92" s="43">
        <v>805839.6</v>
      </c>
      <c r="F92" s="14"/>
    </row>
    <row r="93" spans="1:5" ht="15">
      <c r="A93" s="42">
        <v>3</v>
      </c>
      <c r="B93" s="270" t="s">
        <v>259</v>
      </c>
      <c r="C93" s="270"/>
      <c r="D93" s="270"/>
      <c r="E93" s="43">
        <v>111150</v>
      </c>
    </row>
    <row r="94" spans="1:5" ht="15">
      <c r="A94" s="42">
        <v>4</v>
      </c>
      <c r="B94" s="270" t="s">
        <v>660</v>
      </c>
      <c r="C94" s="270"/>
      <c r="D94" s="270"/>
      <c r="E94" s="43">
        <v>2511162.57</v>
      </c>
    </row>
    <row r="95" spans="1:5" ht="15">
      <c r="A95" s="42">
        <v>5</v>
      </c>
      <c r="B95" s="270" t="s">
        <v>2340</v>
      </c>
      <c r="C95" s="270"/>
      <c r="D95" s="270"/>
      <c r="E95" s="43">
        <v>1956518.16</v>
      </c>
    </row>
    <row r="96" spans="1:5" ht="15">
      <c r="A96" s="42">
        <v>6</v>
      </c>
      <c r="B96" s="272" t="s">
        <v>2341</v>
      </c>
      <c r="C96" s="272"/>
      <c r="D96" s="272"/>
      <c r="E96" s="44">
        <f>'[5]Комсомольский 20'!$E$101+E91</f>
        <v>2052455.5688</v>
      </c>
    </row>
    <row r="97" spans="1:5" ht="15">
      <c r="A97" s="42">
        <v>7</v>
      </c>
      <c r="B97" s="270" t="s">
        <v>732</v>
      </c>
      <c r="C97" s="270"/>
      <c r="D97" s="270"/>
      <c r="E97" s="43">
        <v>347986.1</v>
      </c>
    </row>
    <row r="98" spans="1:5" ht="15">
      <c r="A98" s="42">
        <v>8</v>
      </c>
      <c r="B98" s="270" t="s">
        <v>733</v>
      </c>
      <c r="C98" s="270"/>
      <c r="D98" s="270"/>
      <c r="E98" s="43">
        <v>271085.8</v>
      </c>
    </row>
    <row r="99" spans="1:5" ht="15">
      <c r="A99" s="42">
        <v>9</v>
      </c>
      <c r="B99" s="272" t="s">
        <v>734</v>
      </c>
      <c r="C99" s="272"/>
      <c r="D99" s="272"/>
      <c r="E99" s="44">
        <f>'[5]Комсомольский 20'!$E$104</f>
        <v>588749</v>
      </c>
    </row>
    <row r="100" spans="1:5" ht="15">
      <c r="A100" s="42">
        <v>10</v>
      </c>
      <c r="B100" s="270" t="s">
        <v>260</v>
      </c>
      <c r="C100" s="270"/>
      <c r="D100" s="270"/>
      <c r="E100" s="43">
        <v>670001.18</v>
      </c>
    </row>
    <row r="101" spans="1:5" ht="15">
      <c r="A101" s="42">
        <v>11</v>
      </c>
      <c r="B101" s="270" t="s">
        <v>735</v>
      </c>
      <c r="C101" s="270"/>
      <c r="D101" s="270"/>
      <c r="E101" s="43">
        <v>92413.72</v>
      </c>
    </row>
    <row r="102" spans="1:5" ht="15">
      <c r="A102" s="42">
        <v>12</v>
      </c>
      <c r="B102" s="272" t="s">
        <v>736</v>
      </c>
      <c r="C102" s="272"/>
      <c r="D102" s="272"/>
      <c r="E102" s="44">
        <v>0</v>
      </c>
    </row>
    <row r="103" spans="1:5" ht="28.5" customHeight="1">
      <c r="A103" s="42">
        <v>13</v>
      </c>
      <c r="B103" s="271" t="s">
        <v>2271</v>
      </c>
      <c r="C103" s="271"/>
      <c r="D103" s="271"/>
      <c r="E103" s="45">
        <f>E94-E96</f>
        <v>458707.0011999998</v>
      </c>
    </row>
    <row r="104" spans="1:5" ht="20.25" customHeight="1">
      <c r="A104" s="42">
        <v>14</v>
      </c>
      <c r="B104" s="271" t="s">
        <v>738</v>
      </c>
      <c r="C104" s="271"/>
      <c r="D104" s="271"/>
      <c r="E104" s="45">
        <f>E97-E99</f>
        <v>-240762.90000000002</v>
      </c>
    </row>
    <row r="105" spans="1:5" ht="32.25" customHeight="1">
      <c r="A105" s="42">
        <v>15</v>
      </c>
      <c r="B105" s="271" t="s">
        <v>2273</v>
      </c>
      <c r="C105" s="271"/>
      <c r="D105" s="271"/>
      <c r="E105" s="45">
        <f>E95-E96</f>
        <v>-95937.40880000009</v>
      </c>
    </row>
    <row r="106" spans="1:5" ht="15">
      <c r="A106" s="42"/>
      <c r="B106" s="42"/>
      <c r="C106" s="42"/>
      <c r="D106" s="42"/>
      <c r="E106" s="90"/>
    </row>
    <row r="107" spans="1:5" ht="90">
      <c r="A107" s="83" t="s">
        <v>492</v>
      </c>
      <c r="B107" s="42"/>
      <c r="C107" s="42"/>
      <c r="D107" s="42"/>
      <c r="E107" s="90"/>
    </row>
    <row r="108" spans="1:5" ht="75">
      <c r="A108" s="83" t="s">
        <v>493</v>
      </c>
      <c r="B108" s="42"/>
      <c r="C108" s="42"/>
      <c r="D108" s="42"/>
      <c r="E108" s="90"/>
    </row>
    <row r="109" spans="1:5" ht="150">
      <c r="A109" s="83" t="s">
        <v>494</v>
      </c>
      <c r="B109" s="42"/>
      <c r="C109" s="42"/>
      <c r="D109" s="42"/>
      <c r="E109" s="90"/>
    </row>
    <row r="110" spans="1:5" ht="75">
      <c r="A110" s="83" t="s">
        <v>495</v>
      </c>
      <c r="B110" s="42"/>
      <c r="C110" s="42"/>
      <c r="D110" s="42"/>
      <c r="E110" s="90"/>
    </row>
    <row r="111" spans="1:5" ht="15">
      <c r="A111" s="42"/>
      <c r="B111" s="42"/>
      <c r="C111" s="42"/>
      <c r="D111" s="42"/>
      <c r="E111" s="42"/>
    </row>
    <row r="112" spans="1:5" ht="15">
      <c r="A112" s="42"/>
      <c r="B112" s="42"/>
      <c r="C112" s="42"/>
      <c r="D112" s="42"/>
      <c r="E112" s="42"/>
    </row>
    <row r="113" spans="1:5" ht="15">
      <c r="A113" s="42"/>
      <c r="B113" s="42"/>
      <c r="C113" s="42"/>
      <c r="D113" s="42"/>
      <c r="E113" s="42"/>
    </row>
    <row r="114" spans="1:5" ht="15">
      <c r="A114" s="42"/>
      <c r="B114" s="42"/>
      <c r="C114" s="42"/>
      <c r="D114" s="42"/>
      <c r="E114" s="42"/>
    </row>
    <row r="115" spans="1:5" ht="15">
      <c r="A115" s="42"/>
      <c r="B115" s="42"/>
      <c r="C115" s="42"/>
      <c r="D115" s="42"/>
      <c r="E115" s="42"/>
    </row>
    <row r="116" spans="1:5" ht="15">
      <c r="A116" s="42"/>
      <c r="B116" s="42"/>
      <c r="C116" s="42"/>
      <c r="D116" s="42"/>
      <c r="E116" s="42"/>
    </row>
    <row r="117" spans="1:5" ht="15">
      <c r="A117" s="42"/>
      <c r="B117" s="42"/>
      <c r="C117" s="42"/>
      <c r="D117" s="42"/>
      <c r="E117" s="42"/>
    </row>
    <row r="118" spans="1:5" ht="15">
      <c r="A118" s="42"/>
      <c r="B118" s="42"/>
      <c r="C118" s="42"/>
      <c r="D118" s="42"/>
      <c r="E118" s="42"/>
    </row>
    <row r="119" spans="1:5" ht="15">
      <c r="A119" s="42"/>
      <c r="B119" s="42"/>
      <c r="C119" s="42"/>
      <c r="D119" s="42"/>
      <c r="E119" s="42"/>
    </row>
    <row r="120" spans="1:5" ht="15">
      <c r="A120" s="42"/>
      <c r="B120" s="42"/>
      <c r="C120" s="42"/>
      <c r="D120" s="42"/>
      <c r="E120" s="42"/>
    </row>
    <row r="121" spans="1:5" ht="15">
      <c r="A121" s="42"/>
      <c r="B121" s="42"/>
      <c r="C121" s="42"/>
      <c r="D121" s="42"/>
      <c r="E121" s="42"/>
    </row>
    <row r="122" spans="1:5" ht="15">
      <c r="A122" s="42"/>
      <c r="B122" s="42"/>
      <c r="C122" s="42"/>
      <c r="D122" s="42"/>
      <c r="E122" s="42"/>
    </row>
    <row r="123" spans="1:5" ht="15">
      <c r="A123" s="42"/>
      <c r="B123" s="42"/>
      <c r="C123" s="42"/>
      <c r="D123" s="42"/>
      <c r="E123" s="42"/>
    </row>
    <row r="124" spans="1:5" ht="15">
      <c r="A124" s="42"/>
      <c r="B124" s="42"/>
      <c r="C124" s="42"/>
      <c r="D124" s="42"/>
      <c r="E124" s="42"/>
    </row>
    <row r="125" spans="1:5" ht="15">
      <c r="A125" s="42"/>
      <c r="B125" s="42"/>
      <c r="C125" s="42"/>
      <c r="D125" s="42"/>
      <c r="E125" s="42"/>
    </row>
    <row r="126" spans="1:5" ht="15">
      <c r="A126" s="42"/>
      <c r="B126" s="42"/>
      <c r="C126" s="42"/>
      <c r="D126" s="42"/>
      <c r="E126" s="42"/>
    </row>
    <row r="127" spans="1:5" ht="15">
      <c r="A127" s="42"/>
      <c r="B127" s="42"/>
      <c r="C127" s="42"/>
      <c r="D127" s="42"/>
      <c r="E127" s="42"/>
    </row>
    <row r="128" spans="1:5" ht="15">
      <c r="A128" s="42"/>
      <c r="B128" s="42"/>
      <c r="C128" s="42"/>
      <c r="D128" s="42"/>
      <c r="E128" s="42"/>
    </row>
    <row r="129" spans="1:5" ht="15">
      <c r="A129" s="42"/>
      <c r="B129" s="42"/>
      <c r="C129" s="42"/>
      <c r="D129" s="42"/>
      <c r="E129" s="42"/>
    </row>
    <row r="130" spans="1:5" ht="15">
      <c r="A130" s="42"/>
      <c r="B130" s="42"/>
      <c r="C130" s="42"/>
      <c r="D130" s="42"/>
      <c r="E130" s="42"/>
    </row>
    <row r="131" spans="1:5" ht="15">
      <c r="A131" s="42"/>
      <c r="B131" s="42"/>
      <c r="C131" s="42"/>
      <c r="D131" s="42"/>
      <c r="E131" s="42"/>
    </row>
    <row r="132" spans="1:5" ht="15">
      <c r="A132" s="42"/>
      <c r="B132" s="42"/>
      <c r="C132" s="42"/>
      <c r="D132" s="42"/>
      <c r="E132" s="42"/>
    </row>
    <row r="133" spans="1:5" ht="15">
      <c r="A133" s="42"/>
      <c r="B133" s="42"/>
      <c r="C133" s="42"/>
      <c r="D133" s="42"/>
      <c r="E133" s="42"/>
    </row>
    <row r="134" spans="1:5" ht="15">
      <c r="A134" s="42"/>
      <c r="B134" s="42"/>
      <c r="C134" s="42"/>
      <c r="D134" s="42"/>
      <c r="E134" s="42"/>
    </row>
  </sheetData>
  <sheetProtection/>
  <mergeCells count="37">
    <mergeCell ref="A38:D38"/>
    <mergeCell ref="B94:D94"/>
    <mergeCell ref="B92:D92"/>
    <mergeCell ref="B89:D89"/>
    <mergeCell ref="A87:D87"/>
    <mergeCell ref="B91:D91"/>
    <mergeCell ref="A58:D58"/>
    <mergeCell ref="A69:D69"/>
    <mergeCell ref="A71:D71"/>
    <mergeCell ref="A80:D80"/>
    <mergeCell ref="B96:D96"/>
    <mergeCell ref="B102:D102"/>
    <mergeCell ref="B95:D95"/>
    <mergeCell ref="A40:D40"/>
    <mergeCell ref="A45:D45"/>
    <mergeCell ref="B93:D93"/>
    <mergeCell ref="A85:D85"/>
    <mergeCell ref="B90:D90"/>
    <mergeCell ref="B88:D88"/>
    <mergeCell ref="A86:D86"/>
    <mergeCell ref="B105:D105"/>
    <mergeCell ref="B97:D97"/>
    <mergeCell ref="B98:D98"/>
    <mergeCell ref="B99:D99"/>
    <mergeCell ref="B100:D100"/>
    <mergeCell ref="B103:D103"/>
    <mergeCell ref="B104:D104"/>
    <mergeCell ref="B101:D101"/>
    <mergeCell ref="A20:D20"/>
    <mergeCell ref="A25:D25"/>
    <mergeCell ref="A33:D33"/>
    <mergeCell ref="A1:E1"/>
    <mergeCell ref="A4:D4"/>
    <mergeCell ref="A6:D6"/>
    <mergeCell ref="A12:D12"/>
    <mergeCell ref="B3:C3"/>
    <mergeCell ref="B11:C11"/>
  </mergeCells>
  <printOptions/>
  <pageMargins left="0.29" right="0.2" top="0.29" bottom="0.19" header="0.22" footer="0.17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7"/>
  <sheetViews>
    <sheetView zoomScalePageLayoutView="0" workbookViewId="0" topLeftCell="A79">
      <selection activeCell="E102" sqref="A1:E102"/>
    </sheetView>
  </sheetViews>
  <sheetFormatPr defaultColWidth="13.421875" defaultRowHeight="12.75" outlineLevelRow="2"/>
  <cols>
    <col min="1" max="1" width="2.7109375" style="42" customWidth="1"/>
    <col min="2" max="2" width="11.8515625" style="42" customWidth="1"/>
    <col min="3" max="3" width="14.7109375" style="42" customWidth="1"/>
    <col min="4" max="4" width="67.8515625" style="42" customWidth="1"/>
    <col min="5" max="5" width="14.57421875" style="42" customWidth="1"/>
    <col min="6" max="8" width="11.421875" style="1" customWidth="1"/>
    <col min="9" max="98" width="12.421875" style="1" customWidth="1"/>
    <col min="99" max="16384" width="13.421875" style="1" customWidth="1"/>
  </cols>
  <sheetData>
    <row r="1" spans="1:5" ht="15" thickBot="1">
      <c r="A1" s="315" t="s">
        <v>1866</v>
      </c>
      <c r="B1" s="315"/>
      <c r="C1" s="315"/>
      <c r="D1" s="315"/>
      <c r="E1" s="316"/>
    </row>
    <row r="2" spans="2:6" ht="15">
      <c r="B2" s="101" t="s">
        <v>1570</v>
      </c>
      <c r="C2" s="102" t="s">
        <v>1571</v>
      </c>
      <c r="D2" s="103" t="s">
        <v>1572</v>
      </c>
      <c r="E2" s="104" t="s">
        <v>1573</v>
      </c>
      <c r="F2" s="6"/>
    </row>
    <row r="3" spans="1:5" ht="15">
      <c r="A3" s="115"/>
      <c r="B3" s="309"/>
      <c r="C3" s="309"/>
      <c r="D3" s="142" t="s">
        <v>1575</v>
      </c>
      <c r="E3" s="130">
        <f>E4+E6+E8</f>
        <v>141661.01</v>
      </c>
    </row>
    <row r="4" spans="1:5" ht="12.75" customHeight="1" outlineLevel="1">
      <c r="A4" s="255" t="s">
        <v>1594</v>
      </c>
      <c r="B4" s="256"/>
      <c r="C4" s="256"/>
      <c r="D4" s="257"/>
      <c r="E4" s="105">
        <f>SUM(E5:E5)</f>
        <v>59939</v>
      </c>
    </row>
    <row r="5" spans="1:6" ht="15" outlineLevel="2">
      <c r="A5" s="81"/>
      <c r="B5" s="84" t="s">
        <v>1914</v>
      </c>
      <c r="C5" s="84" t="s">
        <v>1581</v>
      </c>
      <c r="D5" s="84" t="s">
        <v>1010</v>
      </c>
      <c r="E5" s="106">
        <v>59939</v>
      </c>
      <c r="F5" s="14"/>
    </row>
    <row r="6" spans="1:5" ht="15" customHeight="1" outlineLevel="1">
      <c r="A6" s="255" t="s">
        <v>1597</v>
      </c>
      <c r="B6" s="256"/>
      <c r="C6" s="256"/>
      <c r="D6" s="257"/>
      <c r="E6" s="105">
        <f>SUM(E7:E7)</f>
        <v>44452</v>
      </c>
    </row>
    <row r="7" spans="1:6" ht="15" outlineLevel="2">
      <c r="A7" s="81"/>
      <c r="B7" s="84" t="s">
        <v>1169</v>
      </c>
      <c r="C7" s="84" t="s">
        <v>1583</v>
      </c>
      <c r="D7" s="84" t="s">
        <v>1103</v>
      </c>
      <c r="E7" s="106">
        <v>44452</v>
      </c>
      <c r="F7" s="14"/>
    </row>
    <row r="8" spans="1:5" ht="13.5" customHeight="1" outlineLevel="1">
      <c r="A8" s="255" t="s">
        <v>1599</v>
      </c>
      <c r="B8" s="256"/>
      <c r="C8" s="256"/>
      <c r="D8" s="257"/>
      <c r="E8" s="105">
        <f>SUM(E9:E9)</f>
        <v>37270.01</v>
      </c>
    </row>
    <row r="9" spans="2:6" ht="15" outlineLevel="2">
      <c r="B9" s="84" t="s">
        <v>1168</v>
      </c>
      <c r="C9" s="84" t="s">
        <v>1583</v>
      </c>
      <c r="D9" s="84" t="s">
        <v>821</v>
      </c>
      <c r="E9" s="106">
        <v>37270.01</v>
      </c>
      <c r="F9" s="14"/>
    </row>
    <row r="10" spans="1:5" ht="13.5" customHeight="1">
      <c r="A10" s="91"/>
      <c r="B10" s="171"/>
      <c r="C10" s="171"/>
      <c r="D10" s="155" t="s">
        <v>1600</v>
      </c>
      <c r="E10" s="130">
        <f>E11+E19+E22+E28+E37+E57+E58+E67+E70+E78+E83+E84</f>
        <v>248433.20600000006</v>
      </c>
    </row>
    <row r="11" spans="1:5" ht="13.5" customHeight="1" outlineLevel="1">
      <c r="A11" s="255" t="s">
        <v>1576</v>
      </c>
      <c r="B11" s="256"/>
      <c r="C11" s="256"/>
      <c r="D11" s="257"/>
      <c r="E11" s="105">
        <f>SUM(E12:E18)</f>
        <v>18512.31</v>
      </c>
    </row>
    <row r="12" spans="2:6" ht="30" outlineLevel="2">
      <c r="B12" s="83" t="s">
        <v>872</v>
      </c>
      <c r="C12" s="83" t="s">
        <v>1578</v>
      </c>
      <c r="D12" s="83" t="s">
        <v>2328</v>
      </c>
      <c r="E12" s="106">
        <v>2691</v>
      </c>
      <c r="F12" s="14"/>
    </row>
    <row r="13" spans="2:6" ht="15" outlineLevel="2">
      <c r="B13" s="83" t="s">
        <v>878</v>
      </c>
      <c r="C13" s="83" t="s">
        <v>1579</v>
      </c>
      <c r="D13" s="83" t="s">
        <v>2240</v>
      </c>
      <c r="E13" s="106">
        <v>171.6</v>
      </c>
      <c r="F13" s="14"/>
    </row>
    <row r="14" spans="2:6" ht="15" outlineLevel="2">
      <c r="B14" s="83" t="s">
        <v>2</v>
      </c>
      <c r="C14" s="83" t="s">
        <v>1580</v>
      </c>
      <c r="D14" s="83" t="s">
        <v>2277</v>
      </c>
      <c r="E14" s="106">
        <v>59.95</v>
      </c>
      <c r="F14" s="14"/>
    </row>
    <row r="15" spans="2:6" ht="15" outlineLevel="2">
      <c r="B15" s="83" t="s">
        <v>1039</v>
      </c>
      <c r="C15" s="83" t="s">
        <v>1582</v>
      </c>
      <c r="D15" s="83" t="s">
        <v>1051</v>
      </c>
      <c r="E15" s="106">
        <v>13980</v>
      </c>
      <c r="F15" s="14"/>
    </row>
    <row r="16" spans="2:6" ht="30" outlineLevel="2">
      <c r="B16" s="83" t="s">
        <v>510</v>
      </c>
      <c r="C16" s="83" t="s">
        <v>1582</v>
      </c>
      <c r="D16" s="83" t="s">
        <v>509</v>
      </c>
      <c r="E16" s="106">
        <v>452.68</v>
      </c>
      <c r="F16" s="14"/>
    </row>
    <row r="17" spans="2:6" ht="15" outlineLevel="2">
      <c r="B17" s="83" t="s">
        <v>1033</v>
      </c>
      <c r="C17" s="83" t="s">
        <v>1583</v>
      </c>
      <c r="D17" s="83" t="s">
        <v>509</v>
      </c>
      <c r="E17" s="106">
        <v>1076.92</v>
      </c>
      <c r="F17" s="14"/>
    </row>
    <row r="18" spans="2:6" ht="15" outlineLevel="2">
      <c r="B18" s="83" t="s">
        <v>2</v>
      </c>
      <c r="C18" s="83" t="s">
        <v>1583</v>
      </c>
      <c r="D18" s="83" t="s">
        <v>855</v>
      </c>
      <c r="E18" s="106">
        <v>80.16</v>
      </c>
      <c r="F18" s="14"/>
    </row>
    <row r="19" spans="1:5" ht="14.25" customHeight="1" outlineLevel="1">
      <c r="A19" s="255" t="s">
        <v>1589</v>
      </c>
      <c r="B19" s="256"/>
      <c r="C19" s="256"/>
      <c r="D19" s="257"/>
      <c r="E19" s="105">
        <f>SUM(E20:E21)</f>
        <v>5987.92</v>
      </c>
    </row>
    <row r="20" spans="2:6" ht="15" outlineLevel="2">
      <c r="B20" s="83" t="s">
        <v>875</v>
      </c>
      <c r="C20" s="83" t="s">
        <v>1582</v>
      </c>
      <c r="D20" s="83" t="s">
        <v>1850</v>
      </c>
      <c r="E20" s="106">
        <v>379.24</v>
      </c>
      <c r="F20" s="14"/>
    </row>
    <row r="21" spans="2:6" ht="15" outlineLevel="2">
      <c r="B21" s="83" t="s">
        <v>42</v>
      </c>
      <c r="C21" s="83" t="s">
        <v>1583</v>
      </c>
      <c r="D21" s="83" t="s">
        <v>1305</v>
      </c>
      <c r="E21" s="106">
        <v>5608.68</v>
      </c>
      <c r="F21" s="14"/>
    </row>
    <row r="22" spans="1:5" ht="12" customHeight="1" outlineLevel="1">
      <c r="A22" s="255" t="s">
        <v>1590</v>
      </c>
      <c r="B22" s="256"/>
      <c r="C22" s="256"/>
      <c r="D22" s="257"/>
      <c r="E22" s="105">
        <f>SUM(E23:E27)</f>
        <v>16836.88</v>
      </c>
    </row>
    <row r="23" spans="2:6" ht="15" outlineLevel="2">
      <c r="B23" s="87" t="s">
        <v>2429</v>
      </c>
      <c r="C23" s="83" t="s">
        <v>1578</v>
      </c>
      <c r="D23" s="83" t="s">
        <v>658</v>
      </c>
      <c r="E23" s="106">
        <v>5095.55</v>
      </c>
      <c r="F23" s="14"/>
    </row>
    <row r="24" spans="2:6" ht="15" outlineLevel="2">
      <c r="B24" s="87" t="s">
        <v>2</v>
      </c>
      <c r="C24" s="83" t="s">
        <v>1584</v>
      </c>
      <c r="D24" s="83" t="s">
        <v>760</v>
      </c>
      <c r="E24" s="106">
        <v>5627.7</v>
      </c>
      <c r="F24" s="14"/>
    </row>
    <row r="25" spans="2:6" ht="15" outlineLevel="2">
      <c r="B25" s="87" t="s">
        <v>2016</v>
      </c>
      <c r="C25" s="83" t="s">
        <v>1586</v>
      </c>
      <c r="D25" s="83" t="s">
        <v>2017</v>
      </c>
      <c r="E25" s="106">
        <v>4282.94</v>
      </c>
      <c r="F25" s="14"/>
    </row>
    <row r="26" spans="2:6" ht="18" customHeight="1" outlineLevel="2">
      <c r="B26" s="87" t="s">
        <v>1901</v>
      </c>
      <c r="C26" s="83" t="s">
        <v>1586</v>
      </c>
      <c r="D26" s="83" t="s">
        <v>1902</v>
      </c>
      <c r="E26" s="106">
        <v>360.04</v>
      </c>
      <c r="F26" s="14"/>
    </row>
    <row r="27" spans="2:6" ht="18.75" customHeight="1" outlineLevel="2">
      <c r="B27" s="87" t="s">
        <v>192</v>
      </c>
      <c r="C27" s="83" t="s">
        <v>1586</v>
      </c>
      <c r="D27" s="83" t="s">
        <v>783</v>
      </c>
      <c r="E27" s="106">
        <v>1470.65</v>
      </c>
      <c r="F27" s="14"/>
    </row>
    <row r="28" spans="1:5" ht="14.25" customHeight="1" outlineLevel="1">
      <c r="A28" s="255" t="s">
        <v>1591</v>
      </c>
      <c r="B28" s="256"/>
      <c r="C28" s="256"/>
      <c r="D28" s="257"/>
      <c r="E28" s="105">
        <f>SUM(E29:E36)</f>
        <v>35624.03</v>
      </c>
    </row>
    <row r="29" spans="2:6" ht="28.5" customHeight="1" outlineLevel="2">
      <c r="B29" s="88" t="s">
        <v>1986</v>
      </c>
      <c r="C29" s="82" t="s">
        <v>1577</v>
      </c>
      <c r="D29" s="82" t="s">
        <v>2007</v>
      </c>
      <c r="E29" s="106">
        <v>19230.7</v>
      </c>
      <c r="F29" s="14"/>
    </row>
    <row r="30" spans="2:6" ht="15" outlineLevel="2">
      <c r="B30" s="87" t="s">
        <v>1267</v>
      </c>
      <c r="C30" s="83" t="s">
        <v>1577</v>
      </c>
      <c r="D30" s="83" t="s">
        <v>863</v>
      </c>
      <c r="E30" s="106">
        <v>267.5</v>
      </c>
      <c r="F30" s="14"/>
    </row>
    <row r="31" spans="2:6" ht="30" outlineLevel="2">
      <c r="B31" s="87" t="s">
        <v>2329</v>
      </c>
      <c r="C31" s="83" t="s">
        <v>1578</v>
      </c>
      <c r="D31" s="83" t="s">
        <v>2238</v>
      </c>
      <c r="E31" s="106">
        <v>792.4</v>
      </c>
      <c r="F31" s="14"/>
    </row>
    <row r="32" spans="2:6" ht="15" outlineLevel="2">
      <c r="B32" s="87" t="s">
        <v>1064</v>
      </c>
      <c r="C32" s="83" t="s">
        <v>1579</v>
      </c>
      <c r="D32" s="83" t="s">
        <v>2239</v>
      </c>
      <c r="E32" s="106">
        <v>898.5</v>
      </c>
      <c r="F32" s="14"/>
    </row>
    <row r="33" spans="2:6" ht="15" outlineLevel="2">
      <c r="B33" s="87" t="s">
        <v>184</v>
      </c>
      <c r="C33" s="83" t="s">
        <v>1580</v>
      </c>
      <c r="D33" s="83" t="s">
        <v>685</v>
      </c>
      <c r="E33" s="106">
        <v>2655.4</v>
      </c>
      <c r="F33" s="14"/>
    </row>
    <row r="34" spans="2:6" ht="15" outlineLevel="2">
      <c r="B34" s="87" t="s">
        <v>102</v>
      </c>
      <c r="C34" s="83" t="s">
        <v>1582</v>
      </c>
      <c r="D34" s="83" t="s">
        <v>1089</v>
      </c>
      <c r="E34" s="106">
        <v>1067.85</v>
      </c>
      <c r="F34" s="14"/>
    </row>
    <row r="35" spans="2:6" ht="30" outlineLevel="2">
      <c r="B35" s="87" t="s">
        <v>2476</v>
      </c>
      <c r="C35" s="83" t="s">
        <v>1585</v>
      </c>
      <c r="D35" s="83" t="s">
        <v>809</v>
      </c>
      <c r="E35" s="106">
        <v>3047.68</v>
      </c>
      <c r="F35" s="14"/>
    </row>
    <row r="36" spans="2:6" ht="30" outlineLevel="2">
      <c r="B36" s="87" t="s">
        <v>438</v>
      </c>
      <c r="C36" s="83" t="s">
        <v>1588</v>
      </c>
      <c r="D36" s="83" t="s">
        <v>439</v>
      </c>
      <c r="E36" s="106">
        <v>7664</v>
      </c>
      <c r="F36" s="14"/>
    </row>
    <row r="37" spans="1:5" ht="14.25" customHeight="1" outlineLevel="1">
      <c r="A37" s="255" t="s">
        <v>1599</v>
      </c>
      <c r="B37" s="256"/>
      <c r="C37" s="256"/>
      <c r="D37" s="257"/>
      <c r="E37" s="105">
        <f>SUM(E38:E43)</f>
        <v>89635.77</v>
      </c>
    </row>
    <row r="38" spans="2:6" ht="15" outlineLevel="2">
      <c r="B38" s="83" t="s">
        <v>135</v>
      </c>
      <c r="C38" s="83" t="s">
        <v>1579</v>
      </c>
      <c r="D38" s="83" t="s">
        <v>2344</v>
      </c>
      <c r="E38" s="106">
        <v>190.01</v>
      </c>
      <c r="F38" s="14"/>
    </row>
    <row r="39" spans="2:6" ht="15" outlineLevel="2">
      <c r="B39" s="83" t="s">
        <v>17</v>
      </c>
      <c r="C39" s="83" t="s">
        <v>1579</v>
      </c>
      <c r="D39" s="83" t="s">
        <v>2356</v>
      </c>
      <c r="E39" s="106">
        <v>29</v>
      </c>
      <c r="F39" s="14"/>
    </row>
    <row r="40" spans="2:6" ht="15" outlineLevel="2">
      <c r="B40" s="83" t="s">
        <v>54</v>
      </c>
      <c r="C40" s="83" t="s">
        <v>1584</v>
      </c>
      <c r="D40" s="83" t="s">
        <v>2367</v>
      </c>
      <c r="E40" s="106">
        <v>162</v>
      </c>
      <c r="F40" s="14"/>
    </row>
    <row r="41" spans="2:6" ht="15" outlineLevel="2">
      <c r="B41" s="83" t="s">
        <v>1426</v>
      </c>
      <c r="C41" s="83" t="s">
        <v>1585</v>
      </c>
      <c r="D41" s="83" t="s">
        <v>1498</v>
      </c>
      <c r="E41" s="106">
        <v>11212</v>
      </c>
      <c r="F41" s="14"/>
    </row>
    <row r="42" spans="2:6" ht="15" outlineLevel="2">
      <c r="B42" s="83" t="s">
        <v>1337</v>
      </c>
      <c r="C42" s="83" t="s">
        <v>1586</v>
      </c>
      <c r="D42" s="83" t="s">
        <v>1338</v>
      </c>
      <c r="E42" s="106">
        <v>252.98</v>
      </c>
      <c r="F42" s="14"/>
    </row>
    <row r="43" spans="2:6" ht="15" outlineLevel="2">
      <c r="B43" s="83" t="s">
        <v>909</v>
      </c>
      <c r="C43" s="83" t="s">
        <v>1587</v>
      </c>
      <c r="D43" s="83" t="s">
        <v>910</v>
      </c>
      <c r="E43" s="106">
        <v>77789.78</v>
      </c>
      <c r="F43" s="14"/>
    </row>
    <row r="44" spans="1:5" ht="13.5" customHeight="1" outlineLevel="1">
      <c r="A44" s="255" t="s">
        <v>1713</v>
      </c>
      <c r="B44" s="256"/>
      <c r="C44" s="256"/>
      <c r="D44" s="257"/>
      <c r="E44" s="105">
        <f>SUM(E45:E56)</f>
        <v>147600.18000000002</v>
      </c>
    </row>
    <row r="45" spans="2:6" ht="15" outlineLevel="2">
      <c r="B45" s="82"/>
      <c r="C45" s="82" t="s">
        <v>1577</v>
      </c>
      <c r="D45" s="82" t="s">
        <v>1496</v>
      </c>
      <c r="E45" s="106">
        <v>12522.04</v>
      </c>
      <c r="F45" s="14"/>
    </row>
    <row r="46" spans="2:6" ht="15" outlineLevel="2">
      <c r="B46" s="83"/>
      <c r="C46" s="83" t="s">
        <v>1578</v>
      </c>
      <c r="D46" s="83" t="s">
        <v>1496</v>
      </c>
      <c r="E46" s="106">
        <v>12522.04</v>
      </c>
      <c r="F46" s="14"/>
    </row>
    <row r="47" spans="2:6" ht="15" outlineLevel="2">
      <c r="B47" s="83"/>
      <c r="C47" s="83" t="s">
        <v>1579</v>
      </c>
      <c r="D47" s="83" t="s">
        <v>1496</v>
      </c>
      <c r="E47" s="106">
        <v>12522.04</v>
      </c>
      <c r="F47" s="14"/>
    </row>
    <row r="48" spans="2:6" ht="15" outlineLevel="2">
      <c r="B48" s="83"/>
      <c r="C48" s="83" t="s">
        <v>1580</v>
      </c>
      <c r="D48" s="83" t="s">
        <v>1496</v>
      </c>
      <c r="E48" s="106">
        <v>12522.04</v>
      </c>
      <c r="F48" s="14"/>
    </row>
    <row r="49" spans="2:6" ht="15" outlineLevel="2">
      <c r="B49" s="83"/>
      <c r="C49" s="83" t="s">
        <v>1581</v>
      </c>
      <c r="D49" s="83" t="s">
        <v>1496</v>
      </c>
      <c r="E49" s="106">
        <v>11989.18</v>
      </c>
      <c r="F49" s="14"/>
    </row>
    <row r="50" spans="2:6" ht="15" outlineLevel="2">
      <c r="B50" s="83"/>
      <c r="C50" s="83" t="s">
        <v>1582</v>
      </c>
      <c r="D50" s="83" t="s">
        <v>1496</v>
      </c>
      <c r="E50" s="106">
        <v>11989.18</v>
      </c>
      <c r="F50" s="14"/>
    </row>
    <row r="51" spans="2:6" ht="15" outlineLevel="2">
      <c r="B51" s="83"/>
      <c r="C51" s="83" t="s">
        <v>1583</v>
      </c>
      <c r="D51" s="83" t="s">
        <v>1496</v>
      </c>
      <c r="E51" s="106">
        <v>11989.18</v>
      </c>
      <c r="F51" s="14"/>
    </row>
    <row r="52" spans="2:6" ht="15" outlineLevel="2">
      <c r="B52" s="83"/>
      <c r="C52" s="83" t="s">
        <v>1584</v>
      </c>
      <c r="D52" s="83" t="s">
        <v>1496</v>
      </c>
      <c r="E52" s="106">
        <v>11989.18</v>
      </c>
      <c r="F52" s="14"/>
    </row>
    <row r="53" spans="2:6" ht="15" outlineLevel="2">
      <c r="B53" s="83"/>
      <c r="C53" s="83" t="s">
        <v>1585</v>
      </c>
      <c r="D53" s="83" t="s">
        <v>1496</v>
      </c>
      <c r="E53" s="106">
        <v>11989.18</v>
      </c>
      <c r="F53" s="14"/>
    </row>
    <row r="54" spans="2:6" ht="15" outlineLevel="2">
      <c r="B54" s="83"/>
      <c r="C54" s="83" t="s">
        <v>1586</v>
      </c>
      <c r="D54" s="83" t="s">
        <v>1496</v>
      </c>
      <c r="E54" s="106">
        <v>12522.04</v>
      </c>
      <c r="F54" s="14"/>
    </row>
    <row r="55" spans="2:6" ht="15" outlineLevel="2">
      <c r="B55" s="83"/>
      <c r="C55" s="83" t="s">
        <v>1587</v>
      </c>
      <c r="D55" s="83" t="s">
        <v>1496</v>
      </c>
      <c r="E55" s="106">
        <v>12522.04</v>
      </c>
      <c r="F55" s="14"/>
    </row>
    <row r="56" spans="2:6" ht="15" outlineLevel="2">
      <c r="B56" s="89"/>
      <c r="C56" s="83" t="s">
        <v>1588</v>
      </c>
      <c r="D56" s="83" t="s">
        <v>1496</v>
      </c>
      <c r="E56" s="106">
        <v>12522.04</v>
      </c>
      <c r="F56" s="14"/>
    </row>
    <row r="57" spans="1:5" ht="13.5" customHeight="1" outlineLevel="1">
      <c r="A57" s="255" t="s">
        <v>1714</v>
      </c>
      <c r="B57" s="256"/>
      <c r="C57" s="256"/>
      <c r="D57" s="257"/>
      <c r="E57" s="105">
        <f>1.46*3537.3*12</f>
        <v>61973.49600000001</v>
      </c>
    </row>
    <row r="58" spans="1:5" ht="13.5" customHeight="1" outlineLevel="1">
      <c r="A58" s="255" t="s">
        <v>1715</v>
      </c>
      <c r="B58" s="256"/>
      <c r="C58" s="256"/>
      <c r="D58" s="257"/>
      <c r="E58" s="105">
        <f>SUM(E59:E66)</f>
        <v>4978.889999999999</v>
      </c>
    </row>
    <row r="59" spans="2:6" ht="15" outlineLevel="2">
      <c r="B59" s="82" t="s">
        <v>66</v>
      </c>
      <c r="C59" s="82" t="s">
        <v>1577</v>
      </c>
      <c r="D59" s="82" t="s">
        <v>2179</v>
      </c>
      <c r="E59" s="106">
        <v>2164</v>
      </c>
      <c r="F59" s="14"/>
    </row>
    <row r="60" spans="2:6" ht="15" outlineLevel="2">
      <c r="B60" s="83" t="s">
        <v>139</v>
      </c>
      <c r="C60" s="83" t="s">
        <v>1580</v>
      </c>
      <c r="D60" s="83" t="s">
        <v>2233</v>
      </c>
      <c r="E60" s="106">
        <v>578.08</v>
      </c>
      <c r="F60" s="14"/>
    </row>
    <row r="61" spans="2:6" ht="15" outlineLevel="2">
      <c r="B61" s="83" t="s">
        <v>2</v>
      </c>
      <c r="C61" s="83" t="s">
        <v>1580</v>
      </c>
      <c r="D61" s="83" t="s">
        <v>2278</v>
      </c>
      <c r="E61" s="106">
        <v>212.16</v>
      </c>
      <c r="F61" s="14"/>
    </row>
    <row r="62" spans="2:6" ht="15" outlineLevel="2">
      <c r="B62" s="83" t="s">
        <v>222</v>
      </c>
      <c r="C62" s="83" t="s">
        <v>1581</v>
      </c>
      <c r="D62" s="83" t="s">
        <v>223</v>
      </c>
      <c r="E62" s="106">
        <v>603.75</v>
      </c>
      <c r="F62" s="14"/>
    </row>
    <row r="63" spans="2:6" ht="15" outlineLevel="2">
      <c r="B63" s="83" t="s">
        <v>1633</v>
      </c>
      <c r="C63" s="83" t="s">
        <v>1585</v>
      </c>
      <c r="D63" s="83" t="s">
        <v>110</v>
      </c>
      <c r="E63" s="106">
        <v>328.36</v>
      </c>
      <c r="F63" s="14"/>
    </row>
    <row r="64" spans="2:6" ht="15" outlineLevel="2">
      <c r="B64" s="83" t="s">
        <v>530</v>
      </c>
      <c r="C64" s="83" t="s">
        <v>1586</v>
      </c>
      <c r="D64" s="83" t="s">
        <v>1005</v>
      </c>
      <c r="E64" s="106">
        <v>585.23</v>
      </c>
      <c r="F64" s="14"/>
    </row>
    <row r="65" spans="2:6" ht="15" outlineLevel="2">
      <c r="B65" s="83" t="s">
        <v>206</v>
      </c>
      <c r="C65" s="83" t="s">
        <v>1587</v>
      </c>
      <c r="D65" s="83" t="s">
        <v>207</v>
      </c>
      <c r="E65" s="106">
        <v>139.2</v>
      </c>
      <c r="F65" s="14"/>
    </row>
    <row r="66" spans="2:6" ht="15" outlineLevel="2">
      <c r="B66" s="83" t="s">
        <v>1958</v>
      </c>
      <c r="C66" s="83" t="s">
        <v>1588</v>
      </c>
      <c r="D66" s="83" t="s">
        <v>1960</v>
      </c>
      <c r="E66" s="106">
        <v>368.11</v>
      </c>
      <c r="F66" s="14"/>
    </row>
    <row r="67" spans="1:5" ht="14.25" customHeight="1" outlineLevel="1">
      <c r="A67" s="255" t="s">
        <v>1717</v>
      </c>
      <c r="B67" s="256"/>
      <c r="C67" s="256"/>
      <c r="D67" s="257"/>
      <c r="E67" s="105">
        <f>SUM(E68:E69)</f>
        <v>346.69</v>
      </c>
    </row>
    <row r="68" spans="2:6" ht="15" outlineLevel="2">
      <c r="B68" s="83" t="s">
        <v>2</v>
      </c>
      <c r="C68" s="83" t="s">
        <v>1581</v>
      </c>
      <c r="D68" s="83" t="s">
        <v>2278</v>
      </c>
      <c r="E68" s="106">
        <v>166.69</v>
      </c>
      <c r="F68" s="14"/>
    </row>
    <row r="69" spans="2:6" ht="15" outlineLevel="2">
      <c r="B69" s="83" t="s">
        <v>2</v>
      </c>
      <c r="C69" s="83" t="s">
        <v>1587</v>
      </c>
      <c r="D69" s="83" t="s">
        <v>943</v>
      </c>
      <c r="E69" s="106">
        <v>180</v>
      </c>
      <c r="F69" s="14"/>
    </row>
    <row r="70" spans="1:5" ht="15" customHeight="1" outlineLevel="1">
      <c r="A70" s="255" t="s">
        <v>1595</v>
      </c>
      <c r="B70" s="256"/>
      <c r="C70" s="256"/>
      <c r="D70" s="257"/>
      <c r="E70" s="105">
        <f>SUM(E71:E77)</f>
        <v>3288.73</v>
      </c>
    </row>
    <row r="71" spans="2:6" ht="15" outlineLevel="2">
      <c r="B71" s="83" t="s">
        <v>1061</v>
      </c>
      <c r="C71" s="83" t="s">
        <v>1578</v>
      </c>
      <c r="D71" s="83" t="s">
        <v>2027</v>
      </c>
      <c r="E71" s="106">
        <v>49.94</v>
      </c>
      <c r="F71" s="14"/>
    </row>
    <row r="72" spans="2:6" ht="15" outlineLevel="2">
      <c r="B72" s="83" t="s">
        <v>1244</v>
      </c>
      <c r="C72" s="83" t="s">
        <v>1580</v>
      </c>
      <c r="D72" s="83" t="s">
        <v>1403</v>
      </c>
      <c r="E72" s="106">
        <v>251.32</v>
      </c>
      <c r="F72" s="14"/>
    </row>
    <row r="73" spans="2:6" ht="15" outlineLevel="2">
      <c r="B73" s="83" t="s">
        <v>1255</v>
      </c>
      <c r="C73" s="83" t="s">
        <v>1582</v>
      </c>
      <c r="D73" s="83" t="s">
        <v>1612</v>
      </c>
      <c r="E73" s="106">
        <v>1801.53</v>
      </c>
      <c r="F73" s="14"/>
    </row>
    <row r="74" spans="2:6" ht="15" outlineLevel="2">
      <c r="B74" s="83" t="s">
        <v>31</v>
      </c>
      <c r="C74" s="83" t="s">
        <v>1584</v>
      </c>
      <c r="D74" s="83" t="s">
        <v>1926</v>
      </c>
      <c r="E74" s="106">
        <v>136.94</v>
      </c>
      <c r="F74" s="14"/>
    </row>
    <row r="75" spans="2:6" ht="12.75" customHeight="1" outlineLevel="2">
      <c r="B75" s="83" t="s">
        <v>2389</v>
      </c>
      <c r="C75" s="83" t="s">
        <v>1586</v>
      </c>
      <c r="D75" s="83" t="s">
        <v>852</v>
      </c>
      <c r="E75" s="106">
        <v>290.35</v>
      </c>
      <c r="F75" s="14"/>
    </row>
    <row r="76" spans="2:6" ht="15" outlineLevel="2">
      <c r="B76" s="83" t="s">
        <v>1181</v>
      </c>
      <c r="C76" s="83" t="s">
        <v>1587</v>
      </c>
      <c r="D76" s="83" t="s">
        <v>1190</v>
      </c>
      <c r="E76" s="106">
        <v>575.52</v>
      </c>
      <c r="F76" s="14"/>
    </row>
    <row r="77" spans="2:6" ht="15" outlineLevel="2">
      <c r="B77" s="83" t="s">
        <v>975</v>
      </c>
      <c r="C77" s="83" t="s">
        <v>1033</v>
      </c>
      <c r="D77" s="83" t="s">
        <v>976</v>
      </c>
      <c r="E77" s="106">
        <v>183.13</v>
      </c>
      <c r="F77" s="14"/>
    </row>
    <row r="78" spans="1:5" ht="13.5" customHeight="1" outlineLevel="1">
      <c r="A78" s="255" t="s">
        <v>1718</v>
      </c>
      <c r="B78" s="256"/>
      <c r="C78" s="256"/>
      <c r="D78" s="257"/>
      <c r="E78" s="105">
        <f>SUM(E79:E82)</f>
        <v>3837.07</v>
      </c>
    </row>
    <row r="79" spans="2:6" ht="15" outlineLevel="2">
      <c r="B79" s="82" t="s">
        <v>1267</v>
      </c>
      <c r="C79" s="82" t="s">
        <v>1577</v>
      </c>
      <c r="D79" s="82" t="s">
        <v>1897</v>
      </c>
      <c r="E79" s="106">
        <v>1821.43</v>
      </c>
      <c r="F79" s="14"/>
    </row>
    <row r="80" spans="2:6" ht="15" outlineLevel="2">
      <c r="B80" s="83" t="s">
        <v>2</v>
      </c>
      <c r="C80" s="83" t="s">
        <v>57</v>
      </c>
      <c r="D80" s="83" t="s">
        <v>721</v>
      </c>
      <c r="E80" s="106">
        <v>120.73</v>
      </c>
      <c r="F80" s="14"/>
    </row>
    <row r="81" spans="2:6" ht="15" outlineLevel="2">
      <c r="B81" s="83" t="s">
        <v>2</v>
      </c>
      <c r="C81" s="83" t="s">
        <v>1581</v>
      </c>
      <c r="D81" s="83" t="s">
        <v>2390</v>
      </c>
      <c r="E81" s="106">
        <v>1760.51</v>
      </c>
      <c r="F81" s="14"/>
    </row>
    <row r="82" spans="2:6" ht="15" outlineLevel="2">
      <c r="B82" s="84" t="s">
        <v>2</v>
      </c>
      <c r="C82" s="84" t="s">
        <v>57</v>
      </c>
      <c r="D82" s="84" t="s">
        <v>936</v>
      </c>
      <c r="E82" s="106">
        <v>134.4</v>
      </c>
      <c r="F82" s="14"/>
    </row>
    <row r="83" spans="1:6" ht="14.25" customHeight="1" outlineLevel="2">
      <c r="A83" s="255" t="s">
        <v>0</v>
      </c>
      <c r="B83" s="256"/>
      <c r="C83" s="256"/>
      <c r="D83" s="257"/>
      <c r="E83" s="105">
        <f>0.1*3537.3*12</f>
        <v>4244.76</v>
      </c>
      <c r="F83" s="14"/>
    </row>
    <row r="84" spans="1:6" ht="15" customHeight="1" outlineLevel="2">
      <c r="A84" s="255" t="s">
        <v>1867</v>
      </c>
      <c r="B84" s="256"/>
      <c r="C84" s="256"/>
      <c r="D84" s="257"/>
      <c r="E84" s="105">
        <v>3166.66</v>
      </c>
      <c r="F84" s="14"/>
    </row>
    <row r="85" spans="2:6" ht="15">
      <c r="B85" s="273" t="s">
        <v>255</v>
      </c>
      <c r="C85" s="273"/>
      <c r="D85" s="273"/>
      <c r="E85" s="43">
        <f>0.94*3537.3*12</f>
        <v>39900.744</v>
      </c>
      <c r="F85" s="26"/>
    </row>
    <row r="86" spans="2:6" ht="15">
      <c r="B86" s="270" t="s">
        <v>59</v>
      </c>
      <c r="C86" s="270"/>
      <c r="D86" s="270"/>
      <c r="E86" s="43">
        <f>1.57*3537.3*12</f>
        <v>66642.732</v>
      </c>
      <c r="F86" s="14"/>
    </row>
    <row r="87" spans="2:6" ht="15">
      <c r="B87" s="270" t="s">
        <v>256</v>
      </c>
      <c r="C87" s="270"/>
      <c r="D87" s="270"/>
      <c r="E87" s="43">
        <f>10.3*(E89+E90)/100</f>
        <v>93787.1238</v>
      </c>
      <c r="F87" s="14"/>
    </row>
    <row r="88" spans="1:5" ht="15">
      <c r="A88" s="42">
        <v>1</v>
      </c>
      <c r="B88" s="272" t="s">
        <v>659</v>
      </c>
      <c r="C88" s="272"/>
      <c r="D88" s="272"/>
      <c r="E88" s="44">
        <f>E87+E86+E85+E10+E3</f>
        <v>590424.8158000001</v>
      </c>
    </row>
    <row r="89" spans="1:6" ht="15">
      <c r="A89" s="42">
        <v>2</v>
      </c>
      <c r="B89" s="270" t="s">
        <v>258</v>
      </c>
      <c r="C89" s="270"/>
      <c r="D89" s="270"/>
      <c r="E89" s="43">
        <v>800184.6</v>
      </c>
      <c r="F89" s="14"/>
    </row>
    <row r="90" spans="1:5" ht="15">
      <c r="A90" s="42">
        <v>3</v>
      </c>
      <c r="B90" s="270" t="s">
        <v>259</v>
      </c>
      <c r="C90" s="270"/>
      <c r="D90" s="270"/>
      <c r="E90" s="43">
        <v>110370</v>
      </c>
    </row>
    <row r="91" spans="1:5" ht="15">
      <c r="A91" s="42">
        <v>4</v>
      </c>
      <c r="B91" s="270" t="s">
        <v>660</v>
      </c>
      <c r="C91" s="270"/>
      <c r="D91" s="270"/>
      <c r="E91" s="43">
        <v>2485412.38</v>
      </c>
    </row>
    <row r="92" spans="1:5" ht="15">
      <c r="A92" s="42">
        <v>5</v>
      </c>
      <c r="B92" s="270" t="s">
        <v>2340</v>
      </c>
      <c r="C92" s="270"/>
      <c r="D92" s="270"/>
      <c r="E92" s="43">
        <v>2065074.93</v>
      </c>
    </row>
    <row r="93" spans="1:5" ht="15">
      <c r="A93" s="42">
        <v>6</v>
      </c>
      <c r="B93" s="272" t="s">
        <v>2341</v>
      </c>
      <c r="C93" s="272"/>
      <c r="D93" s="272"/>
      <c r="E93" s="44">
        <f>'[5]Комсомольский 22'!$E$109+E88</f>
        <v>1929436.2158</v>
      </c>
    </row>
    <row r="94" spans="1:5" ht="15">
      <c r="A94" s="42">
        <v>7</v>
      </c>
      <c r="B94" s="270" t="s">
        <v>732</v>
      </c>
      <c r="C94" s="270"/>
      <c r="D94" s="270"/>
      <c r="E94" s="43">
        <v>345531.9</v>
      </c>
    </row>
    <row r="95" spans="1:5" ht="15">
      <c r="A95" s="42">
        <v>8</v>
      </c>
      <c r="B95" s="270" t="s">
        <v>733</v>
      </c>
      <c r="C95" s="270"/>
      <c r="D95" s="270"/>
      <c r="E95" s="43">
        <v>287020.6</v>
      </c>
    </row>
    <row r="96" spans="1:5" ht="15">
      <c r="A96" s="42">
        <v>9</v>
      </c>
      <c r="B96" s="272" t="s">
        <v>734</v>
      </c>
      <c r="C96" s="272"/>
      <c r="D96" s="272"/>
      <c r="E96" s="44">
        <f>'[5]Комсомольский 20'!$E$104</f>
        <v>588749</v>
      </c>
    </row>
    <row r="97" spans="1:5" ht="15">
      <c r="A97" s="42">
        <v>10</v>
      </c>
      <c r="B97" s="270" t="s">
        <v>260</v>
      </c>
      <c r="C97" s="270"/>
      <c r="D97" s="270"/>
      <c r="E97" s="43">
        <v>710935.66</v>
      </c>
    </row>
    <row r="98" spans="1:5" ht="15">
      <c r="A98" s="42">
        <v>11</v>
      </c>
      <c r="B98" s="270" t="s">
        <v>735</v>
      </c>
      <c r="C98" s="270"/>
      <c r="D98" s="270"/>
      <c r="E98" s="43">
        <v>98059.83</v>
      </c>
    </row>
    <row r="99" spans="1:5" ht="15">
      <c r="A99" s="42">
        <v>12</v>
      </c>
      <c r="B99" s="272" t="s">
        <v>736</v>
      </c>
      <c r="C99" s="272"/>
      <c r="D99" s="272"/>
      <c r="E99" s="44">
        <v>0</v>
      </c>
    </row>
    <row r="100" spans="1:5" ht="15.75" customHeight="1">
      <c r="A100" s="42">
        <v>13</v>
      </c>
      <c r="B100" s="271" t="s">
        <v>737</v>
      </c>
      <c r="C100" s="271"/>
      <c r="D100" s="271"/>
      <c r="E100" s="45">
        <f>E91-E93</f>
        <v>555976.1642</v>
      </c>
    </row>
    <row r="101" spans="1:5" ht="14.25" customHeight="1">
      <c r="A101" s="42">
        <v>14</v>
      </c>
      <c r="B101" s="271" t="s">
        <v>738</v>
      </c>
      <c r="C101" s="271"/>
      <c r="D101" s="271"/>
      <c r="E101" s="45">
        <f>E94-E96</f>
        <v>-243217.09999999998</v>
      </c>
    </row>
    <row r="102" spans="1:5" ht="27.75" customHeight="1">
      <c r="A102" s="42">
        <v>15</v>
      </c>
      <c r="B102" s="271" t="s">
        <v>739</v>
      </c>
      <c r="C102" s="271"/>
      <c r="D102" s="271"/>
      <c r="E102" s="45">
        <f>E92-E93</f>
        <v>135638.71420000005</v>
      </c>
    </row>
    <row r="103" ht="15">
      <c r="E103" s="90"/>
    </row>
    <row r="104" spans="1:5" ht="105">
      <c r="A104" s="83" t="s">
        <v>492</v>
      </c>
      <c r="E104" s="90"/>
    </row>
    <row r="105" spans="1:5" ht="90">
      <c r="A105" s="83" t="s">
        <v>493</v>
      </c>
      <c r="E105" s="90"/>
    </row>
    <row r="106" spans="1:5" ht="240">
      <c r="A106" s="83" t="s">
        <v>494</v>
      </c>
      <c r="E106" s="90"/>
    </row>
    <row r="107" spans="1:5" ht="90">
      <c r="A107" s="83" t="s">
        <v>495</v>
      </c>
      <c r="E107" s="90"/>
    </row>
  </sheetData>
  <sheetProtection/>
  <mergeCells count="36">
    <mergeCell ref="B92:D92"/>
    <mergeCell ref="A11:D11"/>
    <mergeCell ref="A19:D19"/>
    <mergeCell ref="A22:D22"/>
    <mergeCell ref="A28:D28"/>
    <mergeCell ref="A58:D58"/>
    <mergeCell ref="B86:D86"/>
    <mergeCell ref="A78:D78"/>
    <mergeCell ref="A83:D83"/>
    <mergeCell ref="A84:D84"/>
    <mergeCell ref="B89:D89"/>
    <mergeCell ref="B87:D87"/>
    <mergeCell ref="B90:D90"/>
    <mergeCell ref="B85:D85"/>
    <mergeCell ref="B88:D88"/>
    <mergeCell ref="B91:D91"/>
    <mergeCell ref="B100:D100"/>
    <mergeCell ref="B98:D98"/>
    <mergeCell ref="B93:D93"/>
    <mergeCell ref="B102:D102"/>
    <mergeCell ref="B94:D94"/>
    <mergeCell ref="B95:D95"/>
    <mergeCell ref="B96:D96"/>
    <mergeCell ref="B97:D97"/>
    <mergeCell ref="B101:D101"/>
    <mergeCell ref="B99:D99"/>
    <mergeCell ref="A70:D70"/>
    <mergeCell ref="A1:E1"/>
    <mergeCell ref="A4:D4"/>
    <mergeCell ref="A6:D6"/>
    <mergeCell ref="A8:D8"/>
    <mergeCell ref="B3:C3"/>
    <mergeCell ref="A37:D37"/>
    <mergeCell ref="A44:D44"/>
    <mergeCell ref="A57:D57"/>
    <mergeCell ref="A67:D67"/>
  </mergeCells>
  <printOptions/>
  <pageMargins left="0.44" right="0.16" top="0.35" bottom="0.21" header="0.2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2014-07-14T21:46:01Z</cp:lastPrinted>
  <dcterms:created xsi:type="dcterms:W3CDTF">1996-10-08T23:32:33Z</dcterms:created>
  <dcterms:modified xsi:type="dcterms:W3CDTF">2014-08-06T22:16:38Z</dcterms:modified>
  <cp:category/>
  <cp:version/>
  <cp:contentType/>
  <cp:contentStatus/>
</cp:coreProperties>
</file>