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5" firstSheet="22" activeTab="27"/>
  </bookViews>
  <sheets>
    <sheet name="Мира 40 А" sheetId="1" r:id="rId1"/>
    <sheet name="Мира 42" sheetId="2" r:id="rId2"/>
    <sheet name="Мира 42 А" sheetId="3" r:id="rId3"/>
    <sheet name="Мира 44 А" sheetId="4" r:id="rId4"/>
    <sheet name="Мира 48" sheetId="5" r:id="rId5"/>
    <sheet name="Мира 46 Б " sheetId="6" r:id="rId6"/>
    <sheet name="Мира 46 В" sheetId="7" r:id="rId7"/>
    <sheet name="Мира 50" sheetId="8" r:id="rId8"/>
    <sheet name="Мира 52 Б" sheetId="9" r:id="rId9"/>
    <sheet name="Митра 56" sheetId="10" r:id="rId10"/>
    <sheet name="Октябрьский 1" sheetId="11" r:id="rId11"/>
    <sheet name="Октябрьский 3" sheetId="12" r:id="rId12"/>
    <sheet name="Октябрьский 5" sheetId="13" r:id="rId13"/>
    <sheet name="Октябрьский 7" sheetId="14" r:id="rId14"/>
    <sheet name="Октябрьский 7 А" sheetId="15" r:id="rId15"/>
    <sheet name="Октябрьский 7Б" sheetId="16" r:id="rId16"/>
    <sheet name="Октябрьский 7 В" sheetId="17" r:id="rId17"/>
    <sheet name="Октябрьский 9" sheetId="18" r:id="rId18"/>
    <sheet name="Октябрьский 9 А" sheetId="19" r:id="rId19"/>
    <sheet name="Октябрьский 9 Б" sheetId="20" r:id="rId20"/>
    <sheet name="Октябрьский 13" sheetId="21" r:id="rId21"/>
    <sheet name="Октябрьский 13 А" sheetId="22" r:id="rId22"/>
    <sheet name="Октябрьский 21" sheetId="23" r:id="rId23"/>
    <sheet name="Октябрьский 17" sheetId="24" r:id="rId24"/>
    <sheet name="Октябрьский 19" sheetId="25" r:id="rId25"/>
    <sheet name="Октябрьский 21 А" sheetId="26" r:id="rId26"/>
    <sheet name="Октябрьский 23" sheetId="27" r:id="rId27"/>
    <sheet name="Октябрьскиц 23 А" sheetId="28" r:id="rId28"/>
    <sheet name="Строителей 17" sheetId="29" r:id="rId29"/>
    <sheet name="Строителей 17 В" sheetId="30" r:id="rId30"/>
    <sheet name="Строителей 19" sheetId="31" r:id="rId31"/>
    <sheet name="Строителей 19-1" sheetId="32" r:id="rId32"/>
    <sheet name="Строителей 19 А-1" sheetId="33" r:id="rId33"/>
    <sheet name="Строителей 19 А" sheetId="34" r:id="rId34"/>
    <sheet name="Строителей 19 В" sheetId="35" r:id="rId35"/>
    <sheet name="Строителей 19 Б" sheetId="36" r:id="rId36"/>
    <sheet name="Строителей 19 г" sheetId="37" r:id="rId37"/>
  </sheets>
  <definedNames/>
  <calcPr fullCalcOnLoad="1"/>
</workbook>
</file>

<file path=xl/sharedStrings.xml><?xml version="1.0" encoding="utf-8"?>
<sst xmlns="http://schemas.openxmlformats.org/spreadsheetml/2006/main" count="9148" uniqueCount="2812">
  <si>
    <t>Демонтаж и монтаж канализационной трубы 5подвал</t>
  </si>
  <si>
    <t>Демонтаж  и монтаж канализационног лежака 5подвал</t>
  </si>
  <si>
    <t>Отчистка канализационного выпуска 7подвал</t>
  </si>
  <si>
    <t>№ 03/13</t>
  </si>
  <si>
    <t>Отчистка канализационной сети 2 блок</t>
  </si>
  <si>
    <t>Отчистка канализационной сети кв 24</t>
  </si>
  <si>
    <t>Отчистка канализационной сети 1,2,4п.</t>
  </si>
  <si>
    <t>№ 03/12</t>
  </si>
  <si>
    <t>Отчистка канализационнй сети в подвале</t>
  </si>
  <si>
    <t>Отчистка канализационной сети. 3п</t>
  </si>
  <si>
    <t>№ 03/11</t>
  </si>
  <si>
    <t>Отчистка канализационного лежака 8 подвал</t>
  </si>
  <si>
    <t>№ 03/10</t>
  </si>
  <si>
    <t>Демонтаж труб кв 4</t>
  </si>
  <si>
    <t>№ 03/9</t>
  </si>
  <si>
    <t>Демонтаж труб кв 86,83,80</t>
  </si>
  <si>
    <t>№ 03/7</t>
  </si>
  <si>
    <t>Отчистка канализационной сети 1,4п.</t>
  </si>
  <si>
    <t>Отчистка канализационной сети 4п.</t>
  </si>
  <si>
    <t>№ 03/5</t>
  </si>
  <si>
    <t>Смена внутрених трубопроводов 13-подвал, кв 174</t>
  </si>
  <si>
    <t>№ 02/5</t>
  </si>
  <si>
    <t>Установка трубопроводов канализации 1,3,18 кв</t>
  </si>
  <si>
    <t>№ 03/4</t>
  </si>
  <si>
    <t>Смена дверных приборов 1под и чердак</t>
  </si>
  <si>
    <t>Смена дверных приборов 7подвал</t>
  </si>
  <si>
    <t>Смена дверных приборов 1подвал</t>
  </si>
  <si>
    <t>Смена дверных приборов</t>
  </si>
  <si>
    <t>№ 03/3</t>
  </si>
  <si>
    <t>Установка мнталической двери в подвал</t>
  </si>
  <si>
    <t>№ 03/1</t>
  </si>
  <si>
    <t>Демонтаж труб кв 82</t>
  </si>
  <si>
    <t>№02/54</t>
  </si>
  <si>
    <t xml:space="preserve">Откачка воды из  4  подвала </t>
  </si>
  <si>
    <t>№02/55</t>
  </si>
  <si>
    <t>Замена стояка кв 405,305.</t>
  </si>
  <si>
    <t>Прочистка канализации.</t>
  </si>
  <si>
    <t>№02/56</t>
  </si>
  <si>
    <t>Замена вентилей.</t>
  </si>
  <si>
    <t>№02/57</t>
  </si>
  <si>
    <t>Ремонт вентилей,канализации.Замена вентилей 1 подвал.</t>
  </si>
  <si>
    <t>№02/58</t>
  </si>
  <si>
    <t>КР 4/12 Ремонт кровли</t>
  </si>
  <si>
    <t>ООО "Магистраль"</t>
  </si>
  <si>
    <t>Ремонт внутр.дорог</t>
  </si>
  <si>
    <t>КР 15/12</t>
  </si>
  <si>
    <t>ООО "Спектр" Ремонт кровли</t>
  </si>
  <si>
    <t>КР 16/12</t>
  </si>
  <si>
    <t>КР 21/12</t>
  </si>
  <si>
    <t xml:space="preserve"> Фасад, швы, водостоки</t>
  </si>
  <si>
    <t>КР 6/12</t>
  </si>
  <si>
    <t xml:space="preserve"> Ремонт свесов</t>
  </si>
  <si>
    <t>КР 13/12</t>
  </si>
  <si>
    <t>ТР 4/12</t>
  </si>
  <si>
    <t>"Спектр" Сантех.работы, кв.75,76,77</t>
  </si>
  <si>
    <t>ТР 10/12</t>
  </si>
  <si>
    <t>"Спектр" Сантех.работы, кв.35</t>
  </si>
  <si>
    <t>ТР 13/12</t>
  </si>
  <si>
    <t>"АРСК" Ремонт межпанельных швов</t>
  </si>
  <si>
    <t>ТР 15/12</t>
  </si>
  <si>
    <t>ООО "Спектр" Ремонт фасада</t>
  </si>
  <si>
    <t>ТР 16/12</t>
  </si>
  <si>
    <t>"Спектр" Ремонт фасадов, швов</t>
  </si>
  <si>
    <t>ТР 21/12</t>
  </si>
  <si>
    <t>ИП Янковой, ремонт межпанельных швов</t>
  </si>
  <si>
    <t>ТР 24/12</t>
  </si>
  <si>
    <t>ООО "Спектр" Устройство детской площадки</t>
  </si>
  <si>
    <t>ООО "Спектр" устройство детской площадки</t>
  </si>
  <si>
    <t>ТР 28/12</t>
  </si>
  <si>
    <t>ИП Беседный, Ремонт межпанельных швов</t>
  </si>
  <si>
    <t>ТР 40/12</t>
  </si>
  <si>
    <t>ИП Беседный, ремонт межпанельных швов</t>
  </si>
  <si>
    <t>ИП Беседный, ремонт межпанельных швов, кв.142</t>
  </si>
  <si>
    <t>ТР 41/12</t>
  </si>
  <si>
    <t>ИП Беседный, ремонт межпанельных швов,кв.38</t>
  </si>
  <si>
    <t>ТР 43/12</t>
  </si>
  <si>
    <t>ООО "Энерго-Комп.", Контур тепловой изоляции</t>
  </si>
  <si>
    <t>ТР 44/12</t>
  </si>
  <si>
    <t>ТР 51/12</t>
  </si>
  <si>
    <t>ООО "Пирамида", Демонтаж козырьков, п-зд 5,6</t>
  </si>
  <si>
    <t>ТР 54/12</t>
  </si>
  <si>
    <t>ООО "Спектр", ремонт швов, фасада</t>
  </si>
  <si>
    <t>ТР 55/12</t>
  </si>
  <si>
    <t>ООО"Спектр", завоз песка</t>
  </si>
  <si>
    <t>ООО "Спектр" , завоз песка</t>
  </si>
  <si>
    <t>ТР 58/12</t>
  </si>
  <si>
    <t>ИП Беседный, ремонт межпанельных швов, кв.89,101,102,55</t>
  </si>
  <si>
    <t>ТР 62/12</t>
  </si>
  <si>
    <t>ООО "Спектр", Ремонт межпанельных швов</t>
  </si>
  <si>
    <t>ТР 66/12</t>
  </si>
  <si>
    <t>ООО "Спектр", Усиление козырька, п-зд 5,6</t>
  </si>
  <si>
    <t>№ 95/11</t>
  </si>
  <si>
    <t>Смена стекол кв.77, навеска дверей 1 подъезд, установка элементов каркаса кв. 9, навеска дверей кв. 88</t>
  </si>
  <si>
    <t>Навеска замка, обшивка дверей, навеска дверей</t>
  </si>
  <si>
    <t>Изготовление и установка щита на слуховое окно.</t>
  </si>
  <si>
    <t>Заделка подвальных окон</t>
  </si>
  <si>
    <t>№ 94/11</t>
  </si>
  <si>
    <t>Ремонт металлических лестничных решеток 3 подъезд</t>
  </si>
  <si>
    <t>Снятие дверных полотен 3п., кв. 147 -заделка отверстий, 1п. - смена стекол, кв. 70,73 - заделка отверстий, кв.2 - установка блоков в дверн. Проемах</t>
  </si>
  <si>
    <t>Установка каркаса из бруска, установка двери</t>
  </si>
  <si>
    <t>Замена стояков кв 31,прочистка канализации кв 1.</t>
  </si>
  <si>
    <t>№02/59</t>
  </si>
  <si>
    <t>Прочистка канализации 5 подвал</t>
  </si>
  <si>
    <t>Очистка канал.стояка кв 59.</t>
  </si>
  <si>
    <t>Очистка канал.стояка кв 88.</t>
  </si>
  <si>
    <t>Очистка канал.лежака кв 3.</t>
  </si>
  <si>
    <t>Замена канал.стояка 2 подвал.</t>
  </si>
  <si>
    <t>№02/60</t>
  </si>
  <si>
    <t>Замена вентилей  ГВС,ХВС кв 51.</t>
  </si>
  <si>
    <t>№02/61</t>
  </si>
  <si>
    <t>Замена  вентиля кв 55.</t>
  </si>
  <si>
    <t>№02/62</t>
  </si>
  <si>
    <t>Замена стояка через перекр. Кв 197,заглушена разводки кв 86.</t>
  </si>
  <si>
    <t>№02/63</t>
  </si>
  <si>
    <t>Замена  лежаков и стояков ХВС и ГВС , п/с.</t>
  </si>
  <si>
    <t>№02/64</t>
  </si>
  <si>
    <t>Ревизии и замена вентилей и сборок кв 37.</t>
  </si>
  <si>
    <t>№02/65</t>
  </si>
  <si>
    <t>Замена стояков по п/с кв 55,78.Замена отсечного кв 33.</t>
  </si>
  <si>
    <t>№02/66</t>
  </si>
  <si>
    <t>Перезапуск стояков отопления,проверка элеваторных узлов.</t>
  </si>
  <si>
    <t>Установка двери, заливка оконных проемов 2 этаж налево</t>
  </si>
  <si>
    <t>Заливка оконных проемов доской Б/у</t>
  </si>
  <si>
    <t>Закрытие оконного проема 1 подъезд</t>
  </si>
  <si>
    <t>№ 01/105</t>
  </si>
  <si>
    <t>Установка двери кв 20</t>
  </si>
  <si>
    <t>№ 01/104</t>
  </si>
  <si>
    <t>Кирпичная кладка под л/проемом 1 плдъезд</t>
  </si>
  <si>
    <t>№ 01/102</t>
  </si>
  <si>
    <t>Устройство опалубки кв 3</t>
  </si>
  <si>
    <t>Заделка отверстий, перекрытий с установкой опалубки кв 81</t>
  </si>
  <si>
    <t>№ 01/101</t>
  </si>
  <si>
    <t>№ 01/99</t>
  </si>
  <si>
    <t>Изготовление, установка двери в элеваторе</t>
  </si>
  <si>
    <t>№ 01/98</t>
  </si>
  <si>
    <t>Установка навесного замка</t>
  </si>
  <si>
    <t>№ 01/97</t>
  </si>
  <si>
    <t>Утепление продухов подвал с 1 по 4 подъезда</t>
  </si>
  <si>
    <t>Забивка продухов 3 блок</t>
  </si>
  <si>
    <t>Заделка продухов 1,2 блок</t>
  </si>
  <si>
    <t>№ 01/96</t>
  </si>
  <si>
    <t>Демонтаж, монтаж вентеля вентеля трубы ГВС</t>
  </si>
  <si>
    <t>№ 01/95</t>
  </si>
  <si>
    <t>№06/56</t>
  </si>
  <si>
    <t>Ремонт шиферной кровли кв 58,60.</t>
  </si>
  <si>
    <t>№06/55</t>
  </si>
  <si>
    <t>Замена стояка ХВС кв 77.</t>
  </si>
  <si>
    <t>№06/54</t>
  </si>
  <si>
    <t>Замена лежака  ХВС кв 78.</t>
  </si>
  <si>
    <t>№06/53</t>
  </si>
  <si>
    <t>Замена стояков ХВС, ГВС, п/с кв 27.</t>
  </si>
  <si>
    <t>№06/52</t>
  </si>
  <si>
    <t>Замена отсечного по ХВС кв 15.</t>
  </si>
  <si>
    <t>Замена отсечного  ГВС кв 82.</t>
  </si>
  <si>
    <t>Замена кольцевого вентеля на лежаке отопления -6 под-л.</t>
  </si>
  <si>
    <t>№06/51</t>
  </si>
  <si>
    <t>Замена  трассы ХВС.</t>
  </si>
  <si>
    <t>№06/50</t>
  </si>
  <si>
    <t>Установка 2 х счетчиков со сваркой кв 53.</t>
  </si>
  <si>
    <t>№06/49</t>
  </si>
  <si>
    <t>Очистка канал.лежака (вставка)</t>
  </si>
  <si>
    <t>№06/48</t>
  </si>
  <si>
    <t>Замена канал.стояка.Прочистка канал-ии.</t>
  </si>
  <si>
    <t>№06/47</t>
  </si>
  <si>
    <t>Откачка воды из подвала 4 под-л.(насосом)</t>
  </si>
  <si>
    <t>№06/46</t>
  </si>
  <si>
    <t>Замена лежака ГВС,замена трассы ГВС.</t>
  </si>
  <si>
    <t>№06/45</t>
  </si>
  <si>
    <t>Смена вентилей,сгонов (1 блок)</t>
  </si>
  <si>
    <t>№06/44</t>
  </si>
  <si>
    <t>Заделка отверстийв перекрытиях кв 26.</t>
  </si>
  <si>
    <t>Заделка перекрытия,кирпичная кладка кв 77,80.</t>
  </si>
  <si>
    <t>№06/43</t>
  </si>
  <si>
    <t>Ревизия и установка вентилей,сгонов,демонтаж и монтаж элеватора</t>
  </si>
  <si>
    <t>№06/42</t>
  </si>
  <si>
    <t>Ревизия и установка вентилей,сгонов,демонтаж и монтаж элеватора.</t>
  </si>
  <si>
    <t>№06/41</t>
  </si>
  <si>
    <t>Замена разводки ХВС до отсечного кв 152.</t>
  </si>
  <si>
    <t>Ревизия вентиля кв 37,замена сбросовых вентилей кв 43.</t>
  </si>
  <si>
    <t>№06/40</t>
  </si>
  <si>
    <t>Замена замерочных вентилей,кольцевых вентилей отопления (элеватор) 1 блок.</t>
  </si>
  <si>
    <t>№06/39</t>
  </si>
  <si>
    <t>№ 38/11</t>
  </si>
  <si>
    <t>Очистка канализационной сети 1,3,4 подъезд</t>
  </si>
  <si>
    <t xml:space="preserve">Отчистка канализационной сети </t>
  </si>
  <si>
    <t>Очистка канализационной сети 4 п</t>
  </si>
  <si>
    <t>Очистка канализационной сети 2п</t>
  </si>
  <si>
    <t>Очистка канализационной сети 1п.</t>
  </si>
  <si>
    <t>Очистка канализационной сети 12,5п.</t>
  </si>
  <si>
    <t>№36/10</t>
  </si>
  <si>
    <t>Ремонт электрооборудования</t>
  </si>
  <si>
    <t>№ 35/11</t>
  </si>
  <si>
    <t>Замена вентилей кв.9</t>
  </si>
  <si>
    <t>№ 34/11</t>
  </si>
  <si>
    <t>Аварийный ремонт электрооборудования</t>
  </si>
  <si>
    <t>№ 33/11</t>
  </si>
  <si>
    <t>№ 55/10</t>
  </si>
  <si>
    <t xml:space="preserve">д/в № 54 </t>
  </si>
  <si>
    <t>перезапуск стояка гвс и хвс кв. 48</t>
  </si>
  <si>
    <t>д/в № 53</t>
  </si>
  <si>
    <t>перезапуск ГВС и ХВС</t>
  </si>
  <si>
    <t>д/в № 84</t>
  </si>
  <si>
    <t>перезапуск стояка гвс и хвс кв. 69</t>
  </si>
  <si>
    <t>д/в № 90</t>
  </si>
  <si>
    <t>Перезапуск стояков ГВС и ХВС кв. 67,71,79</t>
  </si>
  <si>
    <t>д/в № 91</t>
  </si>
  <si>
    <t>Перезапуск стояков ГВС и ХВС кв.52</t>
  </si>
  <si>
    <t>д/в № 92</t>
  </si>
  <si>
    <t>Перезапуст стояков ГВС и ХВС кв. 57</t>
  </si>
  <si>
    <t>д/в № 93</t>
  </si>
  <si>
    <t>Перезапуск стояков ГВС и ХВС кв. 71</t>
  </si>
  <si>
    <t>д/в № 94</t>
  </si>
  <si>
    <t>Перезапуск стояков ГВС и ХВС кв.51</t>
  </si>
  <si>
    <t>д/в № 95</t>
  </si>
  <si>
    <r>
      <rPr>
        <b/>
        <sz val="10"/>
        <rFont val="Arial"/>
        <family val="2"/>
      </rPr>
      <t xml:space="preserve">Отчет ООО УК "Наш дом" по выполненным работам за 2012г. по адресу пр. Мира,46б.  </t>
    </r>
    <r>
      <rPr>
        <sz val="10"/>
        <rFont val="Arial"/>
        <family val="0"/>
      </rPr>
      <t xml:space="preserve"> 
</t>
    </r>
  </si>
  <si>
    <t>№ 06/08</t>
  </si>
  <si>
    <t>Заделка отверстий кв 87.</t>
  </si>
  <si>
    <t>Очистка канализационной сети  9.п.</t>
  </si>
  <si>
    <t>№ 62/12</t>
  </si>
  <si>
    <t>Навеска замка 7,4,3,1п    кв147</t>
  </si>
  <si>
    <t>№ 46/12</t>
  </si>
  <si>
    <t>Пескопосыпка территории</t>
  </si>
  <si>
    <t>№ 04/31</t>
  </si>
  <si>
    <t>№ 122/11</t>
  </si>
  <si>
    <t>Установка светильника  6п.</t>
  </si>
  <si>
    <t>Прочистка канал-ии 1 подвал.</t>
  </si>
  <si>
    <t>№02/43</t>
  </si>
  <si>
    <t>Прочистка канал-ии кв 61.</t>
  </si>
  <si>
    <t>№02/42</t>
  </si>
  <si>
    <t>Замена  п/с кв 85.</t>
  </si>
  <si>
    <t>№02/41</t>
  </si>
  <si>
    <t>Замена вентилей кв 62.</t>
  </si>
  <si>
    <t>№02/40</t>
  </si>
  <si>
    <t>Замена вентилей кв 7.</t>
  </si>
  <si>
    <t>№02/39</t>
  </si>
  <si>
    <t>Замена стояков кв 1.</t>
  </si>
  <si>
    <t>№02/38</t>
  </si>
  <si>
    <t>Замена канал-го стояка кв 86,89.</t>
  </si>
  <si>
    <t>№02/37</t>
  </si>
  <si>
    <t>Дезинсекция и дератизация</t>
  </si>
  <si>
    <t>№ 66/11</t>
  </si>
  <si>
    <t>Обшивка стен оргалитом 3подъезд</t>
  </si>
  <si>
    <t>№ 65/11</t>
  </si>
  <si>
    <t>Обшивка стен оргалитом 8 подъезд</t>
  </si>
  <si>
    <t>№ 64/11</t>
  </si>
  <si>
    <t xml:space="preserve">Навеска замка </t>
  </si>
  <si>
    <t>Навеска замка</t>
  </si>
  <si>
    <t>№ 63/11</t>
  </si>
  <si>
    <t>Смена стекол 6 подъезд</t>
  </si>
  <si>
    <t>№ 62/11</t>
  </si>
  <si>
    <t>Чистка канализации 7,8 подъезды, смена внутренних трубопроводов кв. 89,81,41</t>
  </si>
  <si>
    <t>№ 62/10</t>
  </si>
  <si>
    <t>№ 61/11</t>
  </si>
  <si>
    <t>Смена стекол 2,4 подъезд</t>
  </si>
  <si>
    <t>№ 60/11</t>
  </si>
  <si>
    <t>Смена стекол 3,6 подъезд</t>
  </si>
  <si>
    <t>№ 59/11</t>
  </si>
  <si>
    <t>Смена стекол 1,2 подъезд</t>
  </si>
  <si>
    <t>№ 58/11</t>
  </si>
  <si>
    <t>№ 58/10</t>
  </si>
  <si>
    <t>Замена канализационного стояка</t>
  </si>
  <si>
    <t>Замена стекол 1,2 подъезд</t>
  </si>
  <si>
    <t>№ 57/11</t>
  </si>
  <si>
    <t>Смена стекол 2,1 подъезд</t>
  </si>
  <si>
    <t>№ 56/11</t>
  </si>
  <si>
    <t>Ремонт подъезда 3.</t>
  </si>
  <si>
    <t>№ 55/11</t>
  </si>
  <si>
    <t>ППР электрооборудования</t>
  </si>
  <si>
    <t>№ 54/11</t>
  </si>
  <si>
    <t>№ 53/11</t>
  </si>
  <si>
    <t>№ 50/11</t>
  </si>
  <si>
    <t>Демонтаж Канализационного стояка кв.61</t>
  </si>
  <si>
    <t>№ 49/11</t>
  </si>
  <si>
    <t>Ревизия отсечного вентиля кв. 36</t>
  </si>
  <si>
    <t>№ 48/11</t>
  </si>
  <si>
    <t>Ревизия вентилей и клапонов 3 подвал</t>
  </si>
  <si>
    <t>№ 47/11</t>
  </si>
  <si>
    <t>Замена вентеля 1,2 элеватор</t>
  </si>
  <si>
    <t>№46/11</t>
  </si>
  <si>
    <t>Замена стояка кв. 32, подвал</t>
  </si>
  <si>
    <t>№ 45/11</t>
  </si>
  <si>
    <t>Заваривание свища, замена стояка кв. 26, элеватор</t>
  </si>
  <si>
    <t>№ 44/10</t>
  </si>
  <si>
    <t>Замена стояка ГВС 3,10,13,7,12,11,6 подъезды</t>
  </si>
  <si>
    <t>№ 44/11</t>
  </si>
  <si>
    <t>№ 07/11</t>
  </si>
  <si>
    <t>№ 43/11</t>
  </si>
  <si>
    <t>Замена вентеля подвал</t>
  </si>
  <si>
    <t>№ 41/11</t>
  </si>
  <si>
    <t>Замена стояка кв. 16,75,1, подвал</t>
  </si>
  <si>
    <t>№ 42/11</t>
  </si>
  <si>
    <t>Замена стояка элеватор, кв. 55,7,10</t>
  </si>
  <si>
    <t>№ 39/11</t>
  </si>
  <si>
    <t>Замена стояка кв. 66, 183, 8,</t>
  </si>
  <si>
    <t>Замена канал-го стояка кв 51,54.</t>
  </si>
  <si>
    <t>№02/36</t>
  </si>
  <si>
    <t>Замена стояка ГВС кв 54.</t>
  </si>
  <si>
    <t>№02/35</t>
  </si>
  <si>
    <t>Замена вентиля и сгона кв 43.</t>
  </si>
  <si>
    <t>№02/34</t>
  </si>
  <si>
    <t>Замена трубы п/с через перекрытие кв 40,43.</t>
  </si>
  <si>
    <t>№02/33</t>
  </si>
  <si>
    <t>Монтаж канал.стояка 5 под-л.</t>
  </si>
  <si>
    <t>Ревизия и замена вентилей стояка отопления кв 54.</t>
  </si>
  <si>
    <t>№02/31</t>
  </si>
  <si>
    <t>Установка тамбурной двери 6 под-д.</t>
  </si>
  <si>
    <t>№02/30</t>
  </si>
  <si>
    <t xml:space="preserve">Остекление рам после пожара </t>
  </si>
  <si>
    <t>Остекление рам после пожара.</t>
  </si>
  <si>
    <t>№02/29</t>
  </si>
  <si>
    <t>Заделка отверстий кв 31,34,37,зашивка продухов 6 под-л.</t>
  </si>
  <si>
    <t>№02/28</t>
  </si>
  <si>
    <t>Очистка канализационной сети 5 подвал</t>
  </si>
  <si>
    <t>Очистка канализационной сети кв 61</t>
  </si>
  <si>
    <t>№ 09/9</t>
  </si>
  <si>
    <t>Смена полипропиленовыых труб 2подвал</t>
  </si>
  <si>
    <t>№ 09/8</t>
  </si>
  <si>
    <t>Замена канализационного стояка кв27</t>
  </si>
  <si>
    <t>№ 09/07</t>
  </si>
  <si>
    <t>Очистка канализационной лежака 2подвал кв23</t>
  </si>
  <si>
    <t>№ 09/06</t>
  </si>
  <si>
    <t xml:space="preserve"> Смена полипропиленовых труб (подвал)</t>
  </si>
  <si>
    <t>№ 09/5</t>
  </si>
  <si>
    <t>Замена канализационного стояка кв 1,4,76</t>
  </si>
  <si>
    <t>№ 09/4</t>
  </si>
  <si>
    <t>Заменмена канализационного стояка  кв 63</t>
  </si>
  <si>
    <t>№ 09/3</t>
  </si>
  <si>
    <t>Перезапуск стояков ГВС ХВС кв. 9</t>
  </si>
  <si>
    <t>д/в № 101</t>
  </si>
  <si>
    <t>Перезапуск стояков отопления кв. 10</t>
  </si>
  <si>
    <t>д/в№ 103</t>
  </si>
  <si>
    <t>Перезапуск стояков отопления кв. 8</t>
  </si>
  <si>
    <t>д/в№ 104</t>
  </si>
  <si>
    <t>Перезапуск стояков ГВС и ХВС кв. 32</t>
  </si>
  <si>
    <t>д/в № 105</t>
  </si>
  <si>
    <t>Перезапуск стояков отопления кв. 38</t>
  </si>
  <si>
    <t>д/в№ 106</t>
  </si>
  <si>
    <t>Перезапуск стояков гвс и хвс кв. 28</t>
  </si>
  <si>
    <t>д/в № 107</t>
  </si>
  <si>
    <t>д/в № 108</t>
  </si>
  <si>
    <t>перезапуск стояков гвс и хвс кв. 49</t>
  </si>
  <si>
    <t>д/в № 122</t>
  </si>
  <si>
    <t>Перезапуск стояков гвс и хвс кв. 13</t>
  </si>
  <si>
    <t>№ 09/1а</t>
  </si>
  <si>
    <t>Окраска труб  1,2подвал</t>
  </si>
  <si>
    <t>№ 09/1</t>
  </si>
  <si>
    <t>Смена отдельных участков труб  1 подва</t>
  </si>
  <si>
    <t>№ 41/08</t>
  </si>
  <si>
    <t>Смена отдельных участков трубопровода кв 33,108</t>
  </si>
  <si>
    <t>№ 40/08</t>
  </si>
  <si>
    <t>Смена отдельных участков трубопровода кв 80</t>
  </si>
  <si>
    <t>Смена отдельных участков трубы  кв 53,56</t>
  </si>
  <si>
    <t>Смена отдельных участков трубы  5 подвал</t>
  </si>
  <si>
    <t>Заделка отверстий кв 65,68,86,89.Установка тамбурной двери 1 под-д.</t>
  </si>
  <si>
    <t>№02/27</t>
  </si>
  <si>
    <t>Заделка штробы в ж/плите кв 75.</t>
  </si>
  <si>
    <t>№02/26</t>
  </si>
  <si>
    <t>Замена радиаторной пробки кв 13.</t>
  </si>
  <si>
    <t>№02/21</t>
  </si>
  <si>
    <t>Восстановление подъездного отопления 2 под-д.</t>
  </si>
  <si>
    <t>№02/25</t>
  </si>
  <si>
    <t>Ремонт задвижек по отоплению.Ремонт ограждения.</t>
  </si>
  <si>
    <t>№02/24</t>
  </si>
  <si>
    <t>Ревизия задвижек,регулировка элеватора.Заваривание свища кв 5,замена вентилей.</t>
  </si>
  <si>
    <t>№02/23</t>
  </si>
  <si>
    <t>Заваривание свища кв 162,замена вентилей кв 180,162.</t>
  </si>
  <si>
    <t>№02/22</t>
  </si>
  <si>
    <t>Замена  сгона.</t>
  </si>
  <si>
    <t>№02/20</t>
  </si>
  <si>
    <t>Замена трубы (отопление)</t>
  </si>
  <si>
    <t>д/в№3/06</t>
  </si>
  <si>
    <t>Регул.элеватора.</t>
  </si>
  <si>
    <t>д/в№6/06</t>
  </si>
  <si>
    <t>д/в№4/06</t>
  </si>
  <si>
    <t>Регул.элеватора 1эл.</t>
  </si>
  <si>
    <t>д/в№5/06</t>
  </si>
  <si>
    <t>б/в№7/06</t>
  </si>
  <si>
    <t>д/в№8/06</t>
  </si>
  <si>
    <t>Регул.элеватора 1 эл.</t>
  </si>
  <si>
    <t>д/в№9/06</t>
  </si>
  <si>
    <t>№д/в19/05-6</t>
  </si>
  <si>
    <t>№ 47/10</t>
  </si>
  <si>
    <t>Смена сборки ГВС  кв 34,43,9,53.  1элеватор</t>
  </si>
  <si>
    <t>№ 45/10</t>
  </si>
  <si>
    <t>Разборка и сборка элеваторнрго узла.кв51,78,80,25.элеватор.2п</t>
  </si>
  <si>
    <t>№ 42/10</t>
  </si>
  <si>
    <t>Ревизия, смена задвижек 1,2,3,4элеватор  кв62  1подвал</t>
  </si>
  <si>
    <t>№ 41/10</t>
  </si>
  <si>
    <t>Смена стояка ГВС  кв 77,113,116,119,122 элеватор</t>
  </si>
  <si>
    <t>№ 40/10</t>
  </si>
  <si>
    <t>Сантехнические работы кв91,85,88,61,58,119,87,84,63,65,71   7,10,8подвал.  1,2,3элеватор</t>
  </si>
  <si>
    <t>№ 39/10</t>
  </si>
  <si>
    <t>Замена концевых, демонтаж, монтаж сборки.кв 24. подвал</t>
  </si>
  <si>
    <t>№ 38/10</t>
  </si>
  <si>
    <t>Замена части разводки кв 112</t>
  </si>
  <si>
    <t>№ 37/10</t>
  </si>
  <si>
    <t xml:space="preserve">Очистка канализационной сети </t>
  </si>
  <si>
    <t>Очистка канализационной сети кв 46</t>
  </si>
  <si>
    <t>д/в№10/06</t>
  </si>
  <si>
    <t>д/в№11/06</t>
  </si>
  <si>
    <t>д/в№12/06</t>
  </si>
  <si>
    <t>д/в№13/06</t>
  </si>
  <si>
    <t>д/в№1/06-1</t>
  </si>
  <si>
    <t>д/в№9/10-2</t>
  </si>
  <si>
    <t>д/в№9/10-3</t>
  </si>
  <si>
    <t>д/в№9/10-4</t>
  </si>
  <si>
    <t>д/в№9/10-6</t>
  </si>
  <si>
    <t>д/в№9/10-7</t>
  </si>
  <si>
    <t>д/в№9/10-8</t>
  </si>
  <si>
    <t>д/в№9/10-5</t>
  </si>
  <si>
    <t>№ 3/08</t>
  </si>
  <si>
    <t>Установка замков</t>
  </si>
  <si>
    <t>№ 7/08</t>
  </si>
  <si>
    <t>Малярные работы</t>
  </si>
  <si>
    <t>№ 42/08</t>
  </si>
  <si>
    <t>Заделка отверстий</t>
  </si>
  <si>
    <t>Приказ№112-12</t>
  </si>
  <si>
    <t>Установка металлической двери под.4</t>
  </si>
  <si>
    <t>Приказ№98-12</t>
  </si>
  <si>
    <t>Установка металлической двери</t>
  </si>
  <si>
    <t>Приказ№124-12</t>
  </si>
  <si>
    <t>Установка металлической двери под.6</t>
  </si>
  <si>
    <t>Приказ№121-12</t>
  </si>
  <si>
    <t>Замена радиаторов кв197</t>
  </si>
  <si>
    <t>Промывка системы отопления.</t>
  </si>
  <si>
    <t>д/в№1/06-2</t>
  </si>
  <si>
    <t>д/в№1/06-3</t>
  </si>
  <si>
    <t>д/в№1/06-4</t>
  </si>
  <si>
    <t>д/в№2/06-1</t>
  </si>
  <si>
    <t>д/в№2/06-2</t>
  </si>
  <si>
    <t>Промывка  системы отопления.</t>
  </si>
  <si>
    <t>д/в№2/06-3</t>
  </si>
  <si>
    <t>д/в№2/06-4</t>
  </si>
  <si>
    <t>д/в№2/06-5</t>
  </si>
  <si>
    <t>д/в№2/06-6</t>
  </si>
  <si>
    <t>д/в№2/06-7</t>
  </si>
  <si>
    <t>Прочистка системы отопления.</t>
  </si>
  <si>
    <t>д/в№2/06-8</t>
  </si>
  <si>
    <t>Промывка системы отопления</t>
  </si>
  <si>
    <t>д/в№2/06-9</t>
  </si>
  <si>
    <t>№06/61</t>
  </si>
  <si>
    <t>Замена лежака.</t>
  </si>
  <si>
    <t>№06/65</t>
  </si>
  <si>
    <t>Замена трубы.</t>
  </si>
  <si>
    <t>№06/66</t>
  </si>
  <si>
    <t>Замена  лежака.</t>
  </si>
  <si>
    <t>№06/67</t>
  </si>
  <si>
    <t>Замена стояка.</t>
  </si>
  <si>
    <t>№02/19</t>
  </si>
  <si>
    <t>Замена вентилей кв 83,72,54,76,27.</t>
  </si>
  <si>
    <t>№02/18</t>
  </si>
  <si>
    <t>Смена вентиля кв 48.</t>
  </si>
  <si>
    <t>№02/12</t>
  </si>
  <si>
    <t>Замена стояков,вентилей,сборок кв 6,8,9</t>
  </si>
  <si>
    <t>№02/32</t>
  </si>
  <si>
    <t>№02/11</t>
  </si>
  <si>
    <t>Замена стояков ГВС,ХВС кв65,68,замена вентилей кв 39.</t>
  </si>
  <si>
    <t>Установка заглушек кв 102,126.</t>
  </si>
  <si>
    <t>№ 09/29</t>
  </si>
  <si>
    <t>№ 34/08</t>
  </si>
  <si>
    <t>№34/08</t>
  </si>
  <si>
    <t>Замена вентилей  3,7 под-л.</t>
  </si>
  <si>
    <t>Установка хомута на трубы.</t>
  </si>
  <si>
    <t>№02/10</t>
  </si>
  <si>
    <t>Монтаж канал-х стояков кв 63,1.</t>
  </si>
  <si>
    <t>№02/9</t>
  </si>
  <si>
    <t>№02/8</t>
  </si>
  <si>
    <t>Замена канал-го стояка кв 31,34.</t>
  </si>
  <si>
    <t>№02/7</t>
  </si>
  <si>
    <t>Заваривание свища кв 60.</t>
  </si>
  <si>
    <t>№02/6</t>
  </si>
  <si>
    <t>Демонтаж,монтаж элеватор-го  узла со снятием сопла.</t>
  </si>
  <si>
    <t>№02/04</t>
  </si>
  <si>
    <t>Замена стояков ГВС,ХВС,п/с.Розлива отопления.</t>
  </si>
  <si>
    <t>№02/3</t>
  </si>
  <si>
    <t>Смена трубы по ГВС,вентиля кв46,52.Установка заглушек.</t>
  </si>
  <si>
    <t>№02/02</t>
  </si>
  <si>
    <t>Замена вентиля кв 316.</t>
  </si>
  <si>
    <t>№02/1</t>
  </si>
  <si>
    <t>Демонтаж,монтаж элеват.узла со снятием сопла 2 элеват.</t>
  </si>
  <si>
    <t>Б/н</t>
  </si>
  <si>
    <t>Ремонт и прочистка канал-ции,замена лежаков и стояков.</t>
  </si>
  <si>
    <t>Ре монт и прочистка ,монтаж канал. Стояков.</t>
  </si>
  <si>
    <t>Смена вентилей и клапонов. 9подвал</t>
  </si>
  <si>
    <t>№ 03/60</t>
  </si>
  <si>
    <t>№ 03/59</t>
  </si>
  <si>
    <t>Отчистка канализационной сети. 1подвал</t>
  </si>
  <si>
    <t>Смена вентилей иклапонов. Кв 164, 105</t>
  </si>
  <si>
    <t>Демонтаж, монтаж канализационного стояка. 1подвал</t>
  </si>
  <si>
    <t>№ 03/58</t>
  </si>
  <si>
    <t>Демотаж труб чугунных напорных раструбных. 2подвал</t>
  </si>
  <si>
    <t>№ 03/56</t>
  </si>
  <si>
    <t>Смена внутренних трубопроводов из стальных труб. Кв 32</t>
  </si>
  <si>
    <t>№ 03/54</t>
  </si>
  <si>
    <t>Демонтаж трубопроводов. Кв 9,6.</t>
  </si>
  <si>
    <t>№ 03/55</t>
  </si>
  <si>
    <t>Смена вентилей и клапонов. Кв 108</t>
  </si>
  <si>
    <t>№ 03/53</t>
  </si>
  <si>
    <t>Сантехнические работы. 2элеватор. Кв 40,43,38,3,6,</t>
  </si>
  <si>
    <t>№ 03/52</t>
  </si>
  <si>
    <t>Отчистка канализационной сети 4,5п</t>
  </si>
  <si>
    <t>Отчистка канализационной сети 5,6п.</t>
  </si>
  <si>
    <t>Отчистка канализационной сети. 3п.</t>
  </si>
  <si>
    <t>№ 03/51</t>
  </si>
  <si>
    <t>Отчистка вентилей и клапонов. Кв 56,82,79</t>
  </si>
  <si>
    <t>№ 03/50</t>
  </si>
  <si>
    <t>Установка неостекленных оконных переплетов. Кв 45</t>
  </si>
  <si>
    <t>№ 03/49</t>
  </si>
  <si>
    <t>Снятие, установка дверных полотен. 6 подвал</t>
  </si>
  <si>
    <t>Установка, снятие дверных полотен 2подъезд</t>
  </si>
  <si>
    <t>Обшивка каркасных стен. Продухи</t>
  </si>
  <si>
    <t>Навеска плотничных дверей. 2подвал</t>
  </si>
  <si>
    <t>№ 03/8</t>
  </si>
  <si>
    <t>Утстановка каркасов из брусьев для навесов. 7-1п</t>
  </si>
  <si>
    <t>№ 03/48</t>
  </si>
  <si>
    <t>Ремонт слухового окна. 2 подъезд</t>
  </si>
  <si>
    <t>Навеска плотничной двери. 1 подъезд</t>
  </si>
  <si>
    <t>№ 03/47</t>
  </si>
  <si>
    <t>Обшивка каркасных стен плитами древеноволокнистыми.</t>
  </si>
  <si>
    <t>Монтаж конструкци дверей, люков,лазов. Подвал</t>
  </si>
  <si>
    <t>№ 03/46</t>
  </si>
  <si>
    <t>Смена вентилей и клапонов. Кв 216 в подвале,318,306</t>
  </si>
  <si>
    <t>№ 03/45</t>
  </si>
  <si>
    <t>Смена дверных приборов. 2 и 3п.</t>
  </si>
  <si>
    <t>Смена дверных приборов.6п.</t>
  </si>
  <si>
    <t>Смена дверных приборов. 3п</t>
  </si>
  <si>
    <t>№ 03/44</t>
  </si>
  <si>
    <t>Разборка деревянных заполнений проемов. Элеватор</t>
  </si>
  <si>
    <t>Установка дверного полотна. Элеватор.</t>
  </si>
  <si>
    <t>№ 03/43</t>
  </si>
  <si>
    <t>Установка полотен. 3,6,8 подвал.</t>
  </si>
  <si>
    <t>№ 03/42</t>
  </si>
  <si>
    <t>Установка полотен.6, 4подвал</t>
  </si>
  <si>
    <t>№ 03/41</t>
  </si>
  <si>
    <t xml:space="preserve">Навеска плотничных дверей. Элеватор </t>
  </si>
  <si>
    <t>Устройство дверного каркаса б/у. 7п, элеватор.</t>
  </si>
  <si>
    <t>№03/40</t>
  </si>
  <si>
    <t>Навеска плотничных дверей. 2,4 под.</t>
  </si>
  <si>
    <t>№ 03/40</t>
  </si>
  <si>
    <t>Установка коробок в дверных стенах. 8п.</t>
  </si>
  <si>
    <t>Усттановка коробок в дверных стенах. 3,7п.</t>
  </si>
  <si>
    <t>№ 03/39</t>
  </si>
  <si>
    <t xml:space="preserve">Демонтаж метал. клапонов мусораприемника. 1,2 подъезд. </t>
  </si>
  <si>
    <t>№ 03/38</t>
  </si>
  <si>
    <t>Демонтаж трубопроводов. Кв47</t>
  </si>
  <si>
    <t>№03/37</t>
  </si>
  <si>
    <t>Отчистка канализационной сети.кв 124</t>
  </si>
  <si>
    <t>№ 03/37</t>
  </si>
  <si>
    <t>Очистка канализационной сети. 1п-2бл</t>
  </si>
  <si>
    <t>Замена отсечного вентиля.кв 42</t>
  </si>
  <si>
    <t>№ 03/57</t>
  </si>
  <si>
    <t>Демонтаж чугунных труб. Кв 48</t>
  </si>
  <si>
    <t>№ 7/03</t>
  </si>
  <si>
    <t>Отогрев стояка</t>
  </si>
  <si>
    <t>№ 12/03</t>
  </si>
  <si>
    <t>№ 1/03</t>
  </si>
  <si>
    <t>№д/в№5/05</t>
  </si>
  <si>
    <t>Перезапуск стояков отопления 1,2,3,4элеватор</t>
  </si>
  <si>
    <t>Перезапуск стояков отопления 1 блок</t>
  </si>
  <si>
    <t xml:space="preserve">Перезапуск стояков отопления </t>
  </si>
  <si>
    <t>№д/в№8/05-3</t>
  </si>
  <si>
    <t>№д/в№9/05</t>
  </si>
  <si>
    <t>№д/в№10/05</t>
  </si>
  <si>
    <t>№д/в№11/05</t>
  </si>
  <si>
    <t>д/в№12/05</t>
  </si>
  <si>
    <t>д/в№13/05</t>
  </si>
  <si>
    <t>д/в№15/05</t>
  </si>
  <si>
    <t>д/в№18/05-2</t>
  </si>
  <si>
    <t>д/в№18/05-4</t>
  </si>
  <si>
    <t>д/в№18/05-6</t>
  </si>
  <si>
    <t>д/в№18/05-8</t>
  </si>
  <si>
    <t>д/в№18/05-10</t>
  </si>
  <si>
    <t>д/в№7/05-4,6</t>
  </si>
  <si>
    <t>д/в№18/05-12</t>
  </si>
  <si>
    <t>д/в№18/05-14</t>
  </si>
  <si>
    <t>д/в№18/05-16</t>
  </si>
  <si>
    <t>д/в№18/05-18</t>
  </si>
  <si>
    <t>д/в№18/05-20</t>
  </si>
  <si>
    <t>д/в№20/05-1</t>
  </si>
  <si>
    <t>д/в№20/05-2,3</t>
  </si>
  <si>
    <t>д/в№6/05</t>
  </si>
  <si>
    <t>д/в№14/05</t>
  </si>
  <si>
    <t>д/в№16/05</t>
  </si>
  <si>
    <t>д/в№17/05-2</t>
  </si>
  <si>
    <t>д/в№17/05-4</t>
  </si>
  <si>
    <t>д/в№17/05-6</t>
  </si>
  <si>
    <t>д/в№17/05-8</t>
  </si>
  <si>
    <t>д/в№17/05-10</t>
  </si>
  <si>
    <t>д/в№17/05-12</t>
  </si>
  <si>
    <t>№ 23/05</t>
  </si>
  <si>
    <t>Отчистка от мусора чердачного помещения  работа автокрана, автомашины.</t>
  </si>
  <si>
    <t>Демрнтаж и установка почт.ящиков 1под</t>
  </si>
  <si>
    <t>№ 1/05-1</t>
  </si>
  <si>
    <t>№ 1/05-2</t>
  </si>
  <si>
    <t>Демрнтаж и установка почт.ящиков 2под</t>
  </si>
  <si>
    <t>Демрнтаж и установка почт.ящиков 5под</t>
  </si>
  <si>
    <t>№ 2/05-3</t>
  </si>
  <si>
    <t>№ 2/05-4</t>
  </si>
  <si>
    <t xml:space="preserve"> ИП Столяр Начислено: содержание и текущий ремонт за период с 2010г по 31.12.2012г.</t>
  </si>
  <si>
    <t>ИП Столяр Оплачено:содержание и текущий ремонт за период с 2010г по 31.12.2012г.</t>
  </si>
  <si>
    <t>ИП Лескова Оплачено:содержание и текущий ремонт за период с 2010г по 31.12.2012г.</t>
  </si>
  <si>
    <t>ИП Лескова  Начислено: содержание и текущий ремонт за период с 2010г по 31.12.2012г.</t>
  </si>
  <si>
    <t>Оплачено:содержание и текущий ремонт за период с 2011г по 31.12.2012г.</t>
  </si>
  <si>
    <t>ООО СВС Начислено: содержание и текущий ремонт за период с 2011г по 31.12.2012г.</t>
  </si>
  <si>
    <t>ООО СВС Оплачено:содержание и текущий ремонт за период с 2011г по 31.12.2012г.</t>
  </si>
  <si>
    <t>ОАО "Пиллар" Начислено: содержание и текущий ремонт за период с 2010г по 31.12.2012г.</t>
  </si>
  <si>
    <t>ОАО"Пилар" Оплачено:содержание и текущий ремонт за период с 2011г по 31.12.2012г.</t>
  </si>
  <si>
    <t>ООО "Адель"Начислено: содержание и текущий ремонт за период с 2010г по 31.12.2012г.</t>
  </si>
  <si>
    <t>ООО "Адель"Оплачено:содержание и текущий ремонт за период с 2010г по 31.12.2012г.</t>
  </si>
  <si>
    <t>ИП Мищенко КБ Начислено: содержание и текущий ремонт за период с 2010г по 31.12.2012г.</t>
  </si>
  <si>
    <t>ИП Мищенко КБ Оплачено:содержание и текущий ремонт за период с 2010г по 31.12.2012г.</t>
  </si>
  <si>
    <t>ООО "ЧОП"Кобра-ПЦО-2"Начислено: содержание и текущий ремонт за период с 2010г по 31.12.2012г.</t>
  </si>
  <si>
    <t>ООО "Кобра"Начислено: содержание и текущий ремонт за период с 2010г по 31.12.2012г.</t>
  </si>
  <si>
    <t>ООО "ЧОП"Кобра-ПЦО-2"Оплачено: содержание и текущий ремонт за период с 2010г по 31.12.2012г.</t>
  </si>
  <si>
    <t>ООО "Кобра"Оплачено: содержание и текущий ремонт за период с 2010г по 31.12.2012г.</t>
  </si>
  <si>
    <t>Комитет судей Начислено: содержание и текущий ремонт за период с 2010г по 31.12.2012г.</t>
  </si>
  <si>
    <t>Комитет судей Оплачено: содержание и текущий ремонт за период с 2010г по 31.12.2012г.</t>
  </si>
  <si>
    <t>ООО "Техмонтаж"Начислено: содержание и текущий ремонт за период с 2011г по 31.12.2012г.</t>
  </si>
  <si>
    <t>ООО "Техмонтаж"Оплачено: содержание и текущий ремонт за период с 2011г по 31.12.2012г.</t>
  </si>
  <si>
    <t>ООО "Идиллия"Начислено: содержание и текущий ремонт за период с 2011г по 31.12.2012г.</t>
  </si>
  <si>
    <t>ИП Белошенко Начислено: содержание и текущий ремонт за период с 2011г по 31.12.2012г.</t>
  </si>
  <si>
    <t>ООО "Идиллия"Оплачено: содержание и текущий ремонт за период с 2011г по 31.12.2012г.</t>
  </si>
  <si>
    <t>ИП Белошенко Оплачено: содержание и текущий ремонт за период с 2011г по 31.12.2012г.</t>
  </si>
  <si>
    <t>ООО "Проспект"Начислено: содержание и текущий ремонт за период с 2011г по 31.12.2012г.</t>
  </si>
  <si>
    <t>ООО "Проспект"Оплачено: содержание и текущий ремонт за период с 2011г по 31.12.2012г.</t>
  </si>
  <si>
    <t>ООО  ЧОО "Амуркамень"Начислено: содержание и текущий ремонт за период с 2011г по 31.12.2012г.</t>
  </si>
  <si>
    <t>ООО  ЧОО "Амуркамень"Оплачено: содержание и текущий ремонт за период с 2011г по 31.12.2012г.</t>
  </si>
  <si>
    <t>ИП Колупаев Начислено: содержание и текущий ремонт за период с 2012г по 31.12.2012г.</t>
  </si>
  <si>
    <t>ИП Колупаев Оплачено: содержание и текущий ремонт за период с 2012г по 31.12.2012г.</t>
  </si>
  <si>
    <t xml:space="preserve"> ОАО "Сбербанк России"Начислено: содержание и текущий ремонт за период с 2010г по 31.12.2012г.</t>
  </si>
  <si>
    <t xml:space="preserve"> ОАО "Сбербанк России"Оплачено: содержание и текущий ремонт за период с 2010г по 31.12.2012г.</t>
  </si>
  <si>
    <t>ИП Русинович ИА Начислено: содержание и текущий ремонт за период с 2010г по 31.12.2012г.</t>
  </si>
  <si>
    <t>ИП Русинович ИА Оплачено: содержание и текущий ремонт за период с 2010г по 31.12.2012г.</t>
  </si>
  <si>
    <t>ОАО "Ростелеком"Начислено: содержание и текущий ремонт за период с 2010г по 31.12.2012г.</t>
  </si>
  <si>
    <t>ОАО "Ростелеком"Оплачено: содержание и текущий ремонт за период с 2010г по 31.12.2012г.</t>
  </si>
  <si>
    <t xml:space="preserve"> ООО "Градъ"Начислено: содержание и текущий ремонт за период с 2011г по 31.12.2012г.</t>
  </si>
  <si>
    <t xml:space="preserve"> ООО "Градъ"Оплачено: содержание и текущий ремонт за период с 2011г по 31.12.2012г.</t>
  </si>
  <si>
    <t>Борисенко Т.С.Начислено: содержание и текущий ремонт за период с 2010г по 31.12.2012г.</t>
  </si>
  <si>
    <t>Борисенко Т.С.Оплачено: содержание и текущий ремонт за период с 2010г по 31.12.2012г.</t>
  </si>
  <si>
    <t>Лищук А.В.Начислено: содержание и текущий ремонт за период с 2010г по 31.12.2012г.</t>
  </si>
  <si>
    <t>Лищук А.В.Оплачено: содержание и текущий ремонт за период с 2010г по 31.12.2012г.</t>
  </si>
  <si>
    <t>Пастушенко Н.М. Начислено: содержание и текущий ремонт за период с 2012г по 31.12.2012г.</t>
  </si>
  <si>
    <t>Пастушенко Н.М.Оплачено:содержание и текущий ремонт за период с 2011г по 31.12.2012г.</t>
  </si>
  <si>
    <t>Ремонт свесов</t>
  </si>
  <si>
    <t>Ремонт кровли КР 2/13</t>
  </si>
  <si>
    <t>Смена вентилей и сгонов, подвал</t>
  </si>
  <si>
    <t>Отчистка от мусора (козырьки) 1,2,3,4,5,6 п.</t>
  </si>
  <si>
    <t>Текущий ремонт электрооборудования внутридомовых сетей 4,5,6 под-ды.</t>
  </si>
  <si>
    <t>№02/72</t>
  </si>
  <si>
    <t>Ревизия и замена  электрооборудования</t>
  </si>
  <si>
    <t>№02/73</t>
  </si>
  <si>
    <t>Ремонт и ревизия электрооборудования.</t>
  </si>
  <si>
    <t>№02/74</t>
  </si>
  <si>
    <t>№02/75</t>
  </si>
  <si>
    <t>Ремонт электрооборудования 5 подъезд.</t>
  </si>
  <si>
    <t>№02/76</t>
  </si>
  <si>
    <t>Установка  заглушки кв 12.</t>
  </si>
  <si>
    <t>№02/77</t>
  </si>
  <si>
    <t>Замена  вентиля  кв 92</t>
  </si>
  <si>
    <t>№02/78</t>
  </si>
  <si>
    <t>Замена канал.лежака кв 6.</t>
  </si>
  <si>
    <t>№02/79</t>
  </si>
  <si>
    <t>Ремонт дверного полотна 6 под-д.</t>
  </si>
  <si>
    <t>№02/80</t>
  </si>
  <si>
    <t>Разборка сараев 12 под-л.</t>
  </si>
  <si>
    <t>№30/01</t>
  </si>
  <si>
    <t>Перезапуск стояков отопления.</t>
  </si>
  <si>
    <t>№02/81</t>
  </si>
  <si>
    <t>Замена канал.лежака.</t>
  </si>
  <si>
    <t>№02/82</t>
  </si>
  <si>
    <t>Установка дверей  в кв 20.(брошенная)</t>
  </si>
  <si>
    <t>№02/83</t>
  </si>
  <si>
    <t>Установка дверного полотна  2 подъезд</t>
  </si>
  <si>
    <t>№02/84</t>
  </si>
  <si>
    <t>Ремонт лестничного ограждения.</t>
  </si>
  <si>
    <t>№02/48</t>
  </si>
  <si>
    <t>Ремонт лестничных ограждений 1,2 под-ды.</t>
  </si>
  <si>
    <t>№02/85</t>
  </si>
  <si>
    <t>Замена стояков кв 415,515,315.</t>
  </si>
  <si>
    <t>№02/86</t>
  </si>
  <si>
    <t>Установка замков.</t>
  </si>
  <si>
    <t>Установка замка.</t>
  </si>
  <si>
    <t>№02/87</t>
  </si>
  <si>
    <t>Заделка отверстий мусоропровода 1,2 под-ды.</t>
  </si>
  <si>
    <t>№02/88</t>
  </si>
  <si>
    <t>Замена закольцовки п/с.</t>
  </si>
  <si>
    <t>№02/89</t>
  </si>
  <si>
    <t>Замена стояка кв 71.</t>
  </si>
  <si>
    <t>№02/53</t>
  </si>
  <si>
    <t>Отогрев стояков кв41,142.Смена сборок.</t>
  </si>
  <si>
    <t>№02/52</t>
  </si>
  <si>
    <t>Смена сгона,радиаторной пробки.</t>
  </si>
  <si>
    <t>№02/51</t>
  </si>
  <si>
    <t>Заваривание свища кв 72.</t>
  </si>
  <si>
    <t>№02/50</t>
  </si>
  <si>
    <t>Замена труб ГВС кв 36,72.</t>
  </si>
  <si>
    <t>№02/49</t>
  </si>
  <si>
    <t>Очистка канал.лежака.</t>
  </si>
  <si>
    <t>Прочистка канал.лежака кв 58.</t>
  </si>
  <si>
    <t>Смена сборок  по ГВС кв 46.</t>
  </si>
  <si>
    <t>№02/47</t>
  </si>
  <si>
    <t>Смена части розлива,прочистка канал-и кв 108.</t>
  </si>
  <si>
    <t>№02/46</t>
  </si>
  <si>
    <t>д/в№8/0-4,2</t>
  </si>
  <si>
    <t>Запуск сояка ГВС и ХВС кв 47,66</t>
  </si>
  <si>
    <t>д/в№8/01-1</t>
  </si>
  <si>
    <t>Отключения стояка по ХВС кв 15</t>
  </si>
  <si>
    <t>д/в№8/01-3</t>
  </si>
  <si>
    <t>Запуск стояка кв 70</t>
  </si>
  <si>
    <t>Покос травы</t>
  </si>
  <si>
    <t>№ 5/08</t>
  </si>
  <si>
    <t>№ 33/08</t>
  </si>
  <si>
    <t>Демонтаж эл.узла,смена задвижек,замена труб.</t>
  </si>
  <si>
    <t>№02/45</t>
  </si>
  <si>
    <t>Замена розлива по канал-ии.</t>
  </si>
  <si>
    <t>№02/44</t>
  </si>
  <si>
    <t>КР 20/12</t>
  </si>
  <si>
    <t>Задолженность перед УК: капитальный ремонт (по начислению) по состоянию на 31.12.2012г.</t>
  </si>
  <si>
    <t>Задолженность перед УК по выполненным работам по содержанию и ремонту (по факту оплаты) по состоянию на 31.12.2012г.</t>
  </si>
  <si>
    <t>ООО "Спектр" 14 п-зд,ремонт кровли</t>
  </si>
  <si>
    <t>№ 38/12</t>
  </si>
  <si>
    <t>Смена вентилей 7п в подвале,смена части трубы полотенцесушителя кв-86</t>
  </si>
  <si>
    <t>№ 37/12</t>
  </si>
  <si>
    <t>Слив и наполнение стояков ГВС, ХВС  кв89</t>
  </si>
  <si>
    <t>№ 36/12</t>
  </si>
  <si>
    <t>Прочистка нанализацион стояка кв33, замена отсечного крана кв44,слив и наполнение ХВС кв9</t>
  </si>
  <si>
    <t>№ 35/12</t>
  </si>
  <si>
    <t>Слив и наполнения стояка ГВС и ХВС кв56,53. Ревизия осеных кранов кв 86.</t>
  </si>
  <si>
    <t>№ 34/12</t>
  </si>
  <si>
    <t>Замена отсечных кранов кв 59,слив и наполнения стояко ГВС и ХВС кв20,23, 5подвал.</t>
  </si>
  <si>
    <t>№ 29/12</t>
  </si>
  <si>
    <t>№ 28/12</t>
  </si>
  <si>
    <t>№ 27/12</t>
  </si>
  <si>
    <t>№ 26/12</t>
  </si>
  <si>
    <t>Заделка отверстий после сантехническиз работ кв36</t>
  </si>
  <si>
    <t>№ 25/12</t>
  </si>
  <si>
    <t>Смена отсечного крана  кв20</t>
  </si>
  <si>
    <t>№ 24/12</t>
  </si>
  <si>
    <t>Отключение,, включение ХВС 7подвал,демонтаж вентилей  кв129</t>
  </si>
  <si>
    <t>Смена вентиля по обратке  кв31</t>
  </si>
  <si>
    <t>№ 22/12</t>
  </si>
  <si>
    <t>Слив и наполнения стояка кв37</t>
  </si>
  <si>
    <t>№ 21/12</t>
  </si>
  <si>
    <t>Демонтаж , монтаж вентиля  кв41</t>
  </si>
  <si>
    <t>№ 19/12</t>
  </si>
  <si>
    <t>Заварка свища на ХВС подвал, отключение включение стояка кв214</t>
  </si>
  <si>
    <t>№ 18/12</t>
  </si>
  <si>
    <t>Отключения, включения стояка отопления  кв2; отключения, включения стояка ХВС, ГВС кв63,66;ревизия отсечного крана  кв40; смена части трубы 5подвад</t>
  </si>
  <si>
    <t>№ 17/12</t>
  </si>
  <si>
    <t>Смена части трубы кв 109,смена крана маевского кв115, отключение и включение стоякаХВС кв58,69.</t>
  </si>
  <si>
    <t>№ 16/12</t>
  </si>
  <si>
    <t>Смена сборки по ГВС подвал, смена части трубы  кв122,130</t>
  </si>
  <si>
    <t>№ 15/12</t>
  </si>
  <si>
    <t>Смена отсечного крана по  ГВС кв112.</t>
  </si>
  <si>
    <t>№ 14/12</t>
  </si>
  <si>
    <t>№ 12/12</t>
  </si>
  <si>
    <t>Отключения стояка ГВС кв24</t>
  </si>
  <si>
    <t>№ 11/12</t>
  </si>
  <si>
    <t>Ревизия вентиля  кв25</t>
  </si>
  <si>
    <t>№ 10/12</t>
  </si>
  <si>
    <t>Очистка канализацинной сети 2 блок подвал</t>
  </si>
  <si>
    <t>Демонтаж чугунного тройника 10,9 подвал.</t>
  </si>
  <si>
    <t>№ 08/12</t>
  </si>
  <si>
    <t>Врезка в стояк ГВС кв318, ревизия вентия кв16</t>
  </si>
  <si>
    <t>№ 07/12</t>
  </si>
  <si>
    <t>Замена сборки кв97</t>
  </si>
  <si>
    <t>№ 06/12</t>
  </si>
  <si>
    <t>Демонтаж, монтаж задвижки 1элеватор; смена сбросовых вентилей кв69</t>
  </si>
  <si>
    <t>Демонтаж и монтаж труб 6подвал, демонтаж и монтаж  тройника 5подвал</t>
  </si>
  <si>
    <t>№ 04/12</t>
  </si>
  <si>
    <t>Замена стояков ГВС и ХВС 3подвал, элеватор</t>
  </si>
  <si>
    <t>Смена внутренних трубопроводов кв17,57,76,40. 1,2,3элеватор</t>
  </si>
  <si>
    <t>№ 02/12</t>
  </si>
  <si>
    <t>Смена вентилей кв11,55</t>
  </si>
  <si>
    <t>Очистка канализационной сети 5п</t>
  </si>
  <si>
    <t>Очистка канализационной сети 9п</t>
  </si>
  <si>
    <t>Начислено:капитальный ремонт за период за период с 01.04.2008г. по 31.12.2012г.</t>
  </si>
  <si>
    <t>Оплачено: капитальный ремонт за период с 01.04.2008 по 31.12.2012г.</t>
  </si>
  <si>
    <t>Выполнено работ: капитальный ремонт за период с 01.04.2008 по 31.12.2012г.</t>
  </si>
  <si>
    <t>Оплачено: содержание и текущий ремонт за 2012г.</t>
  </si>
  <si>
    <t>Оплачено: капитальный ремонт за 2012г.</t>
  </si>
  <si>
    <t>Выполнено работ: капитальный ремонт за 2012г.</t>
  </si>
  <si>
    <t>Задолженность  УК: содержание и текущий ремонт (по начислению) по состоянию на 31.12.2012г.</t>
  </si>
  <si>
    <t>Задолженность УК: капитальный ремонт (по начислению) по состоянию на 31.12.2012г.</t>
  </si>
  <si>
    <t>Задолженность УК по выполненным работам по содержанию и ремонту (по факту оплаты) по состоянию на 31.12.2012г.</t>
  </si>
  <si>
    <t>ВДГО 0,94</t>
  </si>
  <si>
    <t>ТБО 1,57</t>
  </si>
  <si>
    <t>АДС 1,46</t>
  </si>
  <si>
    <t>профосмотр 0,1</t>
  </si>
  <si>
    <t>Лифт 5,02</t>
  </si>
  <si>
    <t>Обслуживание м/пр 0,81</t>
  </si>
  <si>
    <t>до 31.12.2012 г.</t>
  </si>
  <si>
    <t>№ 93/11</t>
  </si>
  <si>
    <t>Ремонт канализационного стояка 2 подвал</t>
  </si>
  <si>
    <t>№ 92/11</t>
  </si>
  <si>
    <t>Замена сбросового вентиля на стояки ГВС</t>
  </si>
  <si>
    <t>№ 16/11</t>
  </si>
  <si>
    <t>№ 91/11</t>
  </si>
  <si>
    <t>Монтаж канал.стояка, элеватор</t>
  </si>
  <si>
    <t>№ 90/11</t>
  </si>
  <si>
    <t>Установка заглушки ПХВ, 4п.</t>
  </si>
  <si>
    <t>№ 89/11</t>
  </si>
  <si>
    <t>Монтаж канализационного лежака, 5 подвал</t>
  </si>
  <si>
    <t>№ 88/11</t>
  </si>
  <si>
    <t>Замена стояка отопления кв. 69, заварена перемычка к батарее кв.46, замена отсекной на ХВС кв. 90, 78,122-119,65, ревизия вентелей в подвале</t>
  </si>
  <si>
    <t>№ 86/11</t>
  </si>
  <si>
    <t>Смена вентилей , сгона</t>
  </si>
  <si>
    <t>№ 85/11</t>
  </si>
  <si>
    <t>Смена вентелей 5,6 подвал; замена задвижки - элеватор; смена отсечных вентилей кв.11</t>
  </si>
  <si>
    <t>№ 84/11</t>
  </si>
  <si>
    <t>смена вентилей(элеватор), установка отсечного крана кв. 88, установка заглушки 1 подъезд</t>
  </si>
  <si>
    <t>№ 83/11</t>
  </si>
  <si>
    <t>Смена сгонов, вентилей кв. 54, 1,2 элеватор</t>
  </si>
  <si>
    <t>№ 82/11</t>
  </si>
  <si>
    <t>Промывка системы отопления, монтаж радиаторной пробки кв. 409,404, замена вентеля (элеватор)</t>
  </si>
  <si>
    <t>№ 81/11</t>
  </si>
  <si>
    <t>Установка заглушек, вентелей (элеватор), кв. 8,20,31</t>
  </si>
  <si>
    <t>№ 80/11</t>
  </si>
  <si>
    <t>№ 79/11</t>
  </si>
  <si>
    <t>№ 78/11</t>
  </si>
  <si>
    <t>Ликвидация воздушных пробок</t>
  </si>
  <si>
    <t>№ 75/11</t>
  </si>
  <si>
    <t>Установка заглушек кв. 56</t>
  </si>
  <si>
    <t>№ 74/11</t>
  </si>
  <si>
    <t>№ 73/11</t>
  </si>
  <si>
    <t>Ревизия отсечного вентиля, чистка канализационного лежака</t>
  </si>
  <si>
    <t>№ 72/11</t>
  </si>
  <si>
    <t>Замена вентилей</t>
  </si>
  <si>
    <t>№ 71/11</t>
  </si>
  <si>
    <t>Замена стояка</t>
  </si>
  <si>
    <t>№ 70/11</t>
  </si>
  <si>
    <t>Демонтаж радиатора</t>
  </si>
  <si>
    <t>№ 69/11</t>
  </si>
  <si>
    <t>Смена внутреннего водопровода(элеватор), смена вентилей кв. 55, 106,1,7</t>
  </si>
  <si>
    <t>№ 68/11</t>
  </si>
  <si>
    <t>Смена внутреннего трубопровода, смена вентилей кв. 78,18, 6 подъезд,подвал.</t>
  </si>
  <si>
    <t>№ 63/10</t>
  </si>
  <si>
    <t>Ревизия вентилей кв. 67,70,9,37</t>
  </si>
  <si>
    <t>Ревизия вентилей 4п.</t>
  </si>
  <si>
    <t>№ 60/10</t>
  </si>
  <si>
    <t xml:space="preserve">Замена внутреннего водопровода </t>
  </si>
  <si>
    <t>Слив и наполнения водой системы отопления кв.35</t>
  </si>
  <si>
    <t>Установка заглушек кв.12</t>
  </si>
  <si>
    <t xml:space="preserve">ВДГО </t>
  </si>
  <si>
    <t xml:space="preserve">ТБО </t>
  </si>
  <si>
    <t>от начисления %</t>
  </si>
  <si>
    <t xml:space="preserve">профосмотр </t>
  </si>
  <si>
    <t xml:space="preserve">Лифт </t>
  </si>
  <si>
    <t xml:space="preserve">Обслуживание м/пр </t>
  </si>
  <si>
    <t>Январь</t>
  </si>
  <si>
    <t>№ 01/112</t>
  </si>
  <si>
    <t>Ремонт осветительных приборов кв 63</t>
  </si>
  <si>
    <t>№ 01/111</t>
  </si>
  <si>
    <t>Востановление подъезного освещение 2 подъезд</t>
  </si>
  <si>
    <t>№ 01/110</t>
  </si>
  <si>
    <t>Востановление подвального освещение 6 подъезд</t>
  </si>
  <si>
    <t>№ 01/109</t>
  </si>
  <si>
    <t>Изготовление, утановка двери и дверной коробки элеватор</t>
  </si>
  <si>
    <t>№ 01/109а</t>
  </si>
  <si>
    <t>Установка двери кв 307</t>
  </si>
  <si>
    <t>№ 01/108</t>
  </si>
  <si>
    <t>Установка двери 3 подъезд 1 этаж</t>
  </si>
  <si>
    <t>№ 01/107</t>
  </si>
  <si>
    <t>Заделка перекрытий в ж/б плите кв 5</t>
  </si>
  <si>
    <t>№ 01/106</t>
  </si>
  <si>
    <t>Демонтаж трубопроводов канализации 1подвал</t>
  </si>
  <si>
    <t>№ 09/2</t>
  </si>
  <si>
    <t>Смена отдельных участков трубопровода кв 94</t>
  </si>
  <si>
    <t>Смена отдельных участков трубопровода   кв131</t>
  </si>
  <si>
    <t>Смнеа отдельных участков трубопровода  кв 12</t>
  </si>
  <si>
    <t>Замена стояка (1подвал)</t>
  </si>
  <si>
    <t>№ 53/10</t>
  </si>
  <si>
    <t>№ 52/10</t>
  </si>
  <si>
    <t xml:space="preserve">Смена внутренних трубопроводов 1.3.7.12под, кв-99.10.48.51. </t>
  </si>
  <si>
    <t>№ 51/10</t>
  </si>
  <si>
    <t>Смена вентилей (элеватор)</t>
  </si>
  <si>
    <t>№ 50/10</t>
  </si>
  <si>
    <t>Разборка элеваторного узла (элеватор)</t>
  </si>
  <si>
    <t>№ 49/10</t>
  </si>
  <si>
    <t>Разборка и сборка элеваторного узла  2.4подвал</t>
  </si>
  <si>
    <t>№ 48/10</t>
  </si>
  <si>
    <t>Смена вентилей кв 31.33.108.     1.8подвал</t>
  </si>
  <si>
    <t>№ 46/10</t>
  </si>
  <si>
    <t>Слив и наполнение водой ХВС и ГВС кв 89.12.75. элеватор</t>
  </si>
  <si>
    <t>№ 43/10</t>
  </si>
  <si>
    <t>Очистка канализационной сети  1,2п.</t>
  </si>
  <si>
    <t xml:space="preserve"> </t>
  </si>
  <si>
    <t>Очистка канализационной сети 2-8 под</t>
  </si>
  <si>
    <t>№ 09/12</t>
  </si>
  <si>
    <t>Очистка канализационной сети 1под</t>
  </si>
  <si>
    <t>№ 09/14</t>
  </si>
  <si>
    <t>Очистка канализационной сети 7.6 подвал</t>
  </si>
  <si>
    <t>№ 09/15</t>
  </si>
  <si>
    <t>Очистка канализационной сети  2подвал</t>
  </si>
  <si>
    <t>№ 09/20</t>
  </si>
  <si>
    <t>Подвальное освещение 1.2под</t>
  </si>
  <si>
    <t>№ 09/22</t>
  </si>
  <si>
    <t>№ 09/24</t>
  </si>
  <si>
    <t>Ремонт групповых щиьков</t>
  </si>
  <si>
    <t>№ 09/25</t>
  </si>
  <si>
    <t xml:space="preserve">Ремонт групповых щитков </t>
  </si>
  <si>
    <t>№ 09/26</t>
  </si>
  <si>
    <t>№ 09/27</t>
  </si>
  <si>
    <t>Кровля</t>
  </si>
  <si>
    <t>№ 09/28</t>
  </si>
  <si>
    <t>Очистка канализационной сети  1подвал</t>
  </si>
  <si>
    <t>Очистка канализационной сети вставка</t>
  </si>
  <si>
    <t>Очистка канализационной сети 1-5 под</t>
  </si>
  <si>
    <t>Очистка канализационной сети 1-под</t>
  </si>
  <si>
    <t>Очистка канализационной сети 2-под</t>
  </si>
  <si>
    <t>Очистка канализационной сети кв-51</t>
  </si>
  <si>
    <t>д/в № 1/10-1</t>
  </si>
  <si>
    <t>Запуск системы отопления 1  эл.</t>
  </si>
  <si>
    <t>д/в № 1/10-2</t>
  </si>
  <si>
    <t>Запуск системы отопления 2 эл.</t>
  </si>
  <si>
    <t>д/ф№ 1/10-3</t>
  </si>
  <si>
    <t>д/в№ 1/10-6</t>
  </si>
  <si>
    <t>Запуск системы отопления 3 эл.</t>
  </si>
  <si>
    <t>д/в № 1/10-7</t>
  </si>
  <si>
    <t>Запуск системы отопления 4 эл.</t>
  </si>
  <si>
    <t>д/в № 1/10-8</t>
  </si>
  <si>
    <t>Запуск системы отопления 1эл.</t>
  </si>
  <si>
    <t>д/в № 1/10-9</t>
  </si>
  <si>
    <t>д/в№1/10-10</t>
  </si>
  <si>
    <t>Запуск системы отопления 1 эл.</t>
  </si>
  <si>
    <t>д/в №1/10-11</t>
  </si>
  <si>
    <t>д/в№ 3/10-1</t>
  </si>
  <si>
    <t>д/в № 3/10-2</t>
  </si>
  <si>
    <t>д/в № 3/10-3</t>
  </si>
  <si>
    <t>Запуск систмы отопления 1 эл.</t>
  </si>
  <si>
    <t>д/в№ 3/10-4</t>
  </si>
  <si>
    <t>д/в№3/10-5</t>
  </si>
  <si>
    <t>д/в№ 3/10-6</t>
  </si>
  <si>
    <t>д/в№ 3/10-7</t>
  </si>
  <si>
    <t>д/в№ 3/10-8</t>
  </si>
  <si>
    <t>д/в №3/10-9</t>
  </si>
  <si>
    <t>д/в№3/10-10</t>
  </si>
  <si>
    <t>Запуск системы отопления 3эл.</t>
  </si>
  <si>
    <t>д/в№ 3/10-11</t>
  </si>
  <si>
    <t>д/в№ 3/10-12</t>
  </si>
  <si>
    <t>д/в№ 3/10-13</t>
  </si>
  <si>
    <t>д/в№3/10-14</t>
  </si>
  <si>
    <t>д/в№2/10-1</t>
  </si>
  <si>
    <t>д/в№2/10-2</t>
  </si>
  <si>
    <t>д/в№2/10-3</t>
  </si>
  <si>
    <t>д/в№ 2/10-4</t>
  </si>
  <si>
    <t>Запуск системы отопления 4эл.</t>
  </si>
  <si>
    <t>д/в№ 2/10-5</t>
  </si>
  <si>
    <t>д/в№2/10-6</t>
  </si>
  <si>
    <t>д/в№2/10-7</t>
  </si>
  <si>
    <t>д/в№2/10-8</t>
  </si>
  <si>
    <t>д/в№ 2/10-9</t>
  </si>
  <si>
    <t>д/в№ 2/10-10</t>
  </si>
  <si>
    <t>д/в№2/10-11</t>
  </si>
  <si>
    <t>д/в№2/10-12</t>
  </si>
  <si>
    <t>пр.№138-12</t>
  </si>
  <si>
    <t>Замена водосточной трубы кв. 33</t>
  </si>
  <si>
    <t>пр.№139-12</t>
  </si>
  <si>
    <t xml:space="preserve">Установка мет. двери </t>
  </si>
  <si>
    <t>Приказ № 146-12</t>
  </si>
  <si>
    <t>Благоустройство прилегающей территории 14 подъезд</t>
  </si>
  <si>
    <t>пр. № 148-12</t>
  </si>
  <si>
    <t>Замена водосточной трубы кв. 61</t>
  </si>
  <si>
    <t>перезапуск стояков ГВС и ХВС кв. 36</t>
  </si>
  <si>
    <t>Перезапуск стояков отопления кв.1</t>
  </si>
  <si>
    <t>д/в№ 96</t>
  </si>
  <si>
    <t>д/в № 97</t>
  </si>
  <si>
    <t>перезапуск стояков ГВС и ХВС кв. 69</t>
  </si>
  <si>
    <t>д/в № 98</t>
  </si>
  <si>
    <t>Перезапуск стояков отопления кв.71</t>
  </si>
  <si>
    <t>д/в № 99</t>
  </si>
  <si>
    <t>д/в № 100</t>
  </si>
  <si>
    <t>Демонтаж,монтаж элеватора со снятием сопла.</t>
  </si>
  <si>
    <t>Деионтаж,монтаж элеватора со снятием сопла.</t>
  </si>
  <si>
    <t>Замена отсечного кв 46. Демонтаж, монтаж элеватора  со снятием  сопла.</t>
  </si>
  <si>
    <t>№06/38</t>
  </si>
  <si>
    <t>Ревизия вентилей ХВС,ГВС  кв 71.Демонтаж,монтаж элеватора со снятием сопла.</t>
  </si>
  <si>
    <t>№06/37</t>
  </si>
  <si>
    <t>Замена стояков кв 45,</t>
  </si>
  <si>
    <t>№06/36</t>
  </si>
  <si>
    <t>№06/35</t>
  </si>
  <si>
    <t>Замена канал.стояков кв 77.</t>
  </si>
  <si>
    <t>№06/34</t>
  </si>
  <si>
    <t>Заделка отверстий кв95.</t>
  </si>
  <si>
    <t>№06/33</t>
  </si>
  <si>
    <t>Заделка отверстий,зашивка ступени -1 под-д.</t>
  </si>
  <si>
    <t>№06/32</t>
  </si>
  <si>
    <t>Замена стояков ХВС,ГВС,п/с через перекрытие кв 76,79.</t>
  </si>
  <si>
    <t>№06/31</t>
  </si>
  <si>
    <t>Замена лежака ГВС,замена стояков ГВС 1 под-л.</t>
  </si>
  <si>
    <t>№06/30</t>
  </si>
  <si>
    <t>Замена трассы ХВС-4,5,6 под-лы.</t>
  </si>
  <si>
    <t>№06/29</t>
  </si>
  <si>
    <t>Замена стояка отопления кв 19,замена сборок на стояках отопления кв 46.</t>
  </si>
  <si>
    <t>№06/28</t>
  </si>
  <si>
    <t>Замена вентилей,демонтаж и монтаж элеватора со снятием сопла -6 под-л.</t>
  </si>
  <si>
    <t>№06/27</t>
  </si>
  <si>
    <t>Замена кольцевых вентилей отопления 2 под-л,демонтаж монтаж  элеватора со снятием сопла.</t>
  </si>
  <si>
    <t>Замена кольцевого вентиля отопления,дем-ж и мон-ж элеватора со снятием сопла.</t>
  </si>
  <si>
    <t>№06/26</t>
  </si>
  <si>
    <t>Замена стояка ГВС кв 64,замена сбросового вентиля п/с кв 58.</t>
  </si>
  <si>
    <t>№06/25</t>
  </si>
  <si>
    <t>Замена  чугунной,переходной,ремонтной муфты кв 24.</t>
  </si>
  <si>
    <t>№06/24</t>
  </si>
  <si>
    <t>Чистка канал.лежака(подвал).</t>
  </si>
  <si>
    <t>Чистка  канал.лежака 6 под-л.</t>
  </si>
  <si>
    <t>Чистка канал-го выпуска и лежака 4 под-л.</t>
  </si>
  <si>
    <t>№06/23</t>
  </si>
  <si>
    <t>Частичная замена стояка ХВС,замена внутренней разводки кв 77,установка хомута на трубу кв 113.</t>
  </si>
  <si>
    <t>№06/22</t>
  </si>
  <si>
    <t>Замена части трубы ГВС кв 11.</t>
  </si>
  <si>
    <t>Замена труб в элеваторе.</t>
  </si>
  <si>
    <t>№06/21</t>
  </si>
  <si>
    <t>Замена стояка ХВС через перекрытие с кв 86 в кв 89.</t>
  </si>
  <si>
    <t>№06/20</t>
  </si>
  <si>
    <t>Замена задвижки 3 под-л,замена  стояка ХВС до отсечного кв 85.</t>
  </si>
  <si>
    <t>№06/19</t>
  </si>
  <si>
    <t>Заделка отверстия(кирпичная кладка)</t>
  </si>
  <si>
    <t>№06/18</t>
  </si>
  <si>
    <t>ППР электрооборудования 3,4 под-ды.</t>
  </si>
  <si>
    <t>№06/17</t>
  </si>
  <si>
    <t>ППР электрооборудования.</t>
  </si>
  <si>
    <t>№06/16</t>
  </si>
  <si>
    <t>ППР электрооборудования,</t>
  </si>
  <si>
    <t>№06/15</t>
  </si>
  <si>
    <t>№06/14</t>
  </si>
  <si>
    <t>ППР Т/о электрооборудования.</t>
  </si>
  <si>
    <t>№06/13</t>
  </si>
  <si>
    <t>Смена проводки после затопления кв 101.</t>
  </si>
  <si>
    <t>№06/12</t>
  </si>
  <si>
    <t>Ревизия задвижек,вентилей.Опресовка эл.узла -6 под-л.</t>
  </si>
  <si>
    <t>№06/11</t>
  </si>
  <si>
    <t>Замена трубы и отвода.</t>
  </si>
  <si>
    <t>№06/10</t>
  </si>
  <si>
    <t>Замена части стояка п/с кв 50.</t>
  </si>
  <si>
    <t>№06/9</t>
  </si>
  <si>
    <t>Прочичистка канал.лежака.</t>
  </si>
  <si>
    <t>№06/8</t>
  </si>
  <si>
    <t>№06/7</t>
  </si>
  <si>
    <t>Замена ливневки в под-де 2 под-д.</t>
  </si>
  <si>
    <t>Замена канал.стояка кв 35.</t>
  </si>
  <si>
    <t>Замена канал.стояка кв 110.</t>
  </si>
  <si>
    <t>№06/6</t>
  </si>
  <si>
    <t>Замена  стояков и вентилей.сгонов кв 16,62,95.</t>
  </si>
  <si>
    <t>№06/5</t>
  </si>
  <si>
    <t>Ревизия  арматуры кв 68.</t>
  </si>
  <si>
    <t>Замена радиаторных пробок кв 33.</t>
  </si>
  <si>
    <t>Прочистка разводки  кв 83.</t>
  </si>
  <si>
    <t>№06/4</t>
  </si>
  <si>
    <t>Заделка продухов 1 под-л.</t>
  </si>
  <si>
    <t>Заделка продухов(под-л).</t>
  </si>
  <si>
    <t>№06/3</t>
  </si>
  <si>
    <t>Установка дерев.рам б/у,после пожара 2 под-д.</t>
  </si>
  <si>
    <t>№06/2</t>
  </si>
  <si>
    <t>Установка дерев.щита между ограждением 5 под-д.</t>
  </si>
  <si>
    <t>№06/1</t>
  </si>
  <si>
    <t>Установка двери б/у,крепление двер.коробки на гвозди,забивка окон кв 70,71.</t>
  </si>
  <si>
    <t>Замена отсточного вентиля ХВС кв 39; Замена стояка ХВС кв 40,31; Замена стояка х/в, г/в кв 37</t>
  </si>
  <si>
    <t>№ 01/94</t>
  </si>
  <si>
    <t>Замена стояка ХВС кв 77</t>
  </si>
  <si>
    <t>№ 01/92</t>
  </si>
  <si>
    <t>Замена вентилей на сбросс по ГВС 3 подвал по 67кв</t>
  </si>
  <si>
    <t>№ 01/93</t>
  </si>
  <si>
    <t>Установка вентилей 6подвал</t>
  </si>
  <si>
    <t>№ 01/91</t>
  </si>
  <si>
    <t>№ 01/89</t>
  </si>
  <si>
    <t>Д/в№7/01</t>
  </si>
  <si>
    <t>Демонтаж чугунного канализационного стояка кв.153,156</t>
  </si>
  <si>
    <t>Д/в№7/02</t>
  </si>
  <si>
    <t>Замена отсечных кв.134</t>
  </si>
  <si>
    <t>Д/в№7/03</t>
  </si>
  <si>
    <t>д/в№7/04</t>
  </si>
  <si>
    <t>Отключение, включение ГВС кв.14</t>
  </si>
  <si>
    <t>Д/в№7/05</t>
  </si>
  <si>
    <t>Замена отсечных кв.38,41</t>
  </si>
  <si>
    <t>д/в№7/06</t>
  </si>
  <si>
    <t>д/в№7/08</t>
  </si>
  <si>
    <t>Отключение, включение стояка по ГВС кв.109</t>
  </si>
  <si>
    <t>д/в№07/07</t>
  </si>
  <si>
    <t>Отключения стояка по ГВС кв 18,41,81</t>
  </si>
  <si>
    <t>Отключение, включение стояка по ГВС кв.130,77</t>
  </si>
  <si>
    <t>д/в№7/09</t>
  </si>
  <si>
    <t>д/в№7/10</t>
  </si>
  <si>
    <t>Замена отсечного вентеля кв.55</t>
  </si>
  <si>
    <t>Отключение, вуключение стояка кв.33,28,39,42</t>
  </si>
  <si>
    <t>д/в№7/11</t>
  </si>
  <si>
    <t>д/в№7/12</t>
  </si>
  <si>
    <t>Монтаж отвода кв 1,28</t>
  </si>
  <si>
    <t>д/в№7/13</t>
  </si>
  <si>
    <t>Замена задвижки 1элеватор</t>
  </si>
  <si>
    <t>д/в№7/14</t>
  </si>
  <si>
    <t>Смена вентиляций и клапанов кв 77, 11, 27, 18.</t>
  </si>
  <si>
    <t>№ 01/88</t>
  </si>
  <si>
    <t>Монтаж полотенцесушителя кв69</t>
  </si>
  <si>
    <t>№ 01/87</t>
  </si>
  <si>
    <t>Замена подводки к радеатору кв17</t>
  </si>
  <si>
    <t>№ 01/81</t>
  </si>
  <si>
    <t>№ 01/86</t>
  </si>
  <si>
    <t>№ 01/85</t>
  </si>
  <si>
    <t>Замена сборки на стояке кв 215, 419 4эт, кв 305</t>
  </si>
  <si>
    <t>№ 01/84</t>
  </si>
  <si>
    <t>Смена трубы кв 84</t>
  </si>
  <si>
    <t>Смена стояка кв84</t>
  </si>
  <si>
    <t>№ 01/83</t>
  </si>
  <si>
    <t>Прочистка канализации 1 подвал</t>
  </si>
  <si>
    <t>Заварен свищ кв 57, Отчистка канализации  3 подъезд.</t>
  </si>
  <si>
    <t>Отчистка канализационного выпуска 5подвал</t>
  </si>
  <si>
    <t>Демонтаж канализационной трубы кв 6, 3подвал ка 41.</t>
  </si>
  <si>
    <t>№ 01/82</t>
  </si>
  <si>
    <t>Демонтаж и монтаж муфты 3.</t>
  </si>
  <si>
    <t>Разборка трубопроводов 6 подвал</t>
  </si>
  <si>
    <t xml:space="preserve">№ 01/81 </t>
  </si>
  <si>
    <t>Смена отдельных участков трубы кв 9</t>
  </si>
  <si>
    <t xml:space="preserve">Смена отдельнах участков трубы кв 108, 86, </t>
  </si>
  <si>
    <t>Смена отдельных участков трубы кв 21</t>
  </si>
  <si>
    <t>Смена отдельных участков трубы кв 27</t>
  </si>
  <si>
    <t>Смена отдельных участков трубы кв 71</t>
  </si>
  <si>
    <t>Смена отдельных участков трубы кв 81</t>
  </si>
  <si>
    <t>№ 01/80</t>
  </si>
  <si>
    <t>№ 01/100</t>
  </si>
  <si>
    <t>Установка пружины на тамбурную дверь 2подъезд кв 84</t>
  </si>
  <si>
    <t>Смена отдельных участков трубопровода подвал6,7,8,9.  установка счетчиков кв13,53, 68</t>
  </si>
  <si>
    <t>Замена стояка кв 107,65,120 6подвал</t>
  </si>
  <si>
    <t>№ 01/79</t>
  </si>
  <si>
    <t>Замена стояка ГВС 2подвал,1подвал по 5квартире, подвал по 118кв</t>
  </si>
  <si>
    <t>№ 01/78</t>
  </si>
  <si>
    <t>№ 01/77</t>
  </si>
  <si>
    <t>Смена отдельных участков трубы кв 131,107,26,25. 2подвал</t>
  </si>
  <si>
    <t>Смена вентелей. кв 75, 88</t>
  </si>
  <si>
    <t>Смена отдельных участков трубопровода 1, 2 эллеватор 2подвал.</t>
  </si>
  <si>
    <t>№ 01/75</t>
  </si>
  <si>
    <t>№ 01/40</t>
  </si>
  <si>
    <t>Замена стояка кв 61,39,36</t>
  </si>
  <si>
    <t>№ 01/39</t>
  </si>
  <si>
    <t>Смена отдельных участков трубопровода 1 подъезд, кв 20,21,24</t>
  </si>
  <si>
    <t>№ 01/38</t>
  </si>
  <si>
    <t>Отчистка канализационного лежака 5,6 подвал</t>
  </si>
  <si>
    <t>Разборка лежака с 5 подвала по 63 кв</t>
  </si>
  <si>
    <t>№ 01/37</t>
  </si>
  <si>
    <t>Смена отдельных учасков трубы ка 9,36</t>
  </si>
  <si>
    <t>№ 01/36</t>
  </si>
  <si>
    <t>Отчистка канализационного лежака 5 подвал</t>
  </si>
  <si>
    <t>Отчиска канализационного лежака 4,5 подвал</t>
  </si>
  <si>
    <t>№ 01/35</t>
  </si>
  <si>
    <t>Замена отдельных участков трубопровода кв 56,53</t>
  </si>
  <si>
    <t>№ 01/34</t>
  </si>
  <si>
    <t>Замена вентилей и клапонов кв 33</t>
  </si>
  <si>
    <t>№ 01/33</t>
  </si>
  <si>
    <t>Разборка и сборка элеваторного узла сзаменой сопла</t>
  </si>
  <si>
    <t>№ 34/10</t>
  </si>
  <si>
    <t>Очистка канализационной сети 5п.</t>
  </si>
  <si>
    <t>Очистка канализационной сети 2п.</t>
  </si>
  <si>
    <t>№ 33/10</t>
  </si>
  <si>
    <t>№ 9/34</t>
  </si>
  <si>
    <t>Смена пакетных выключателей</t>
  </si>
  <si>
    <t>№ 35/10</t>
  </si>
  <si>
    <t xml:space="preserve">Октябрь </t>
  </si>
  <si>
    <t>Ревизия ВРУ</t>
  </si>
  <si>
    <t>Замена стояка ХВС, ГВС кв 3,6. 1подвал</t>
  </si>
  <si>
    <t>№ 01/32</t>
  </si>
  <si>
    <t>Замена стояка кв 7</t>
  </si>
  <si>
    <t>№ 01/31</t>
  </si>
  <si>
    <t>Смена отдельных участков трубы кв 22</t>
  </si>
  <si>
    <t>№ 01/30</t>
  </si>
  <si>
    <t>Монтаж и демонтаж вентилей кв 83</t>
  </si>
  <si>
    <t>Замена п/с кв 58</t>
  </si>
  <si>
    <t>№ 01/29</t>
  </si>
  <si>
    <t>Смена отдельных участков трубопровода кв 30</t>
  </si>
  <si>
    <t>№ 01/28</t>
  </si>
  <si>
    <t>№ 01/27</t>
  </si>
  <si>
    <t>Смена отдельных участков трубопровода кв 53,104</t>
  </si>
  <si>
    <t>№ 01/26</t>
  </si>
  <si>
    <t>Замена отсечного вентиля кв 89</t>
  </si>
  <si>
    <t>№ 01/25</t>
  </si>
  <si>
    <t xml:space="preserve">Ремонт замка </t>
  </si>
  <si>
    <t>№ 01/24</t>
  </si>
  <si>
    <t>ремонт ВРУ, ремонт замков.</t>
  </si>
  <si>
    <t>№ 11/23</t>
  </si>
  <si>
    <t>Демонтаж провода</t>
  </si>
  <si>
    <t>№ 01/23</t>
  </si>
  <si>
    <t xml:space="preserve">Ремонт групповых щетков </t>
  </si>
  <si>
    <t>№ 01/22</t>
  </si>
  <si>
    <t>Смена отдельных участков трубы кв 27,31,6. 2подвал.</t>
  </si>
  <si>
    <t>№ 01/21</t>
  </si>
  <si>
    <t xml:space="preserve">Смена отдельнах участков трубы кв 75,58. </t>
  </si>
  <si>
    <t>№ 01/20</t>
  </si>
  <si>
    <t>Очистка канализационной сети</t>
  </si>
  <si>
    <t>Очистка канализационной сети 1 подвал</t>
  </si>
  <si>
    <t>Разборка канализационного лежака</t>
  </si>
  <si>
    <t>Отчистка канализационного лежака кв 75</t>
  </si>
  <si>
    <t>Отчистка канализационного лежака кв 18</t>
  </si>
  <si>
    <t>№ 01/19</t>
  </si>
  <si>
    <t>Установка дверного замка 3 подвал</t>
  </si>
  <si>
    <t>Установка дверного замка 8 подвал</t>
  </si>
  <si>
    <t>Смена дверного замка 1,4 подвал</t>
  </si>
  <si>
    <t>Установка дверного замка 6 пдвал</t>
  </si>
  <si>
    <t>№ 01/18</t>
  </si>
  <si>
    <t>Смена вентилей и сгонов у трубопровода кв 6,38</t>
  </si>
  <si>
    <t>№ 01/17</t>
  </si>
  <si>
    <t xml:space="preserve">Разборка и сборка элеваторного узла </t>
  </si>
  <si>
    <t>Разборка и сборка элеваторного узла сзаменой стопа</t>
  </si>
  <si>
    <t>№ 27/08</t>
  </si>
  <si>
    <t>Отключение включения стояка по ГВС.ХВС. Кв66.60. 5подвал</t>
  </si>
  <si>
    <t>№ 27а/08</t>
  </si>
  <si>
    <t>Сброс, запуск стояков отопления кв44.50. 4-подвал</t>
  </si>
  <si>
    <t>№ 26/08</t>
  </si>
  <si>
    <t>Демонтаж монтаж элеватора со снятием. 2.4.6-подвал</t>
  </si>
  <si>
    <t>№ 25/08</t>
  </si>
  <si>
    <t>Смена задвижек, ревизия вентилей (элеваторный узел)</t>
  </si>
  <si>
    <t>№ 24/08</t>
  </si>
  <si>
    <t>Ревизия вентилей, ревизия задвижек. 1элеватор</t>
  </si>
  <si>
    <t>Ревизия вентилей, ревизия задвижек. Элеваторный узел.</t>
  </si>
  <si>
    <t>№ 23/08</t>
  </si>
  <si>
    <t>Ревизия вентилей, ревизия задвижек. Элеватор</t>
  </si>
  <si>
    <t>№ 22/08</t>
  </si>
  <si>
    <t>Замена труб кв78</t>
  </si>
  <si>
    <t>Замена стояка. Кв 40</t>
  </si>
  <si>
    <t>№ 20/08</t>
  </si>
  <si>
    <t>Замена сборки ХВС (подвал)</t>
  </si>
  <si>
    <t>№ 19/08</t>
  </si>
  <si>
    <t>Ремонт групповых щитков</t>
  </si>
  <si>
    <t>№ 18/08</t>
  </si>
  <si>
    <t>№ 17/08</t>
  </si>
  <si>
    <t>№ 16/08</t>
  </si>
  <si>
    <t>№ 15/08</t>
  </si>
  <si>
    <t>Электротехнические работы</t>
  </si>
  <si>
    <t>Электротехнические работы. 5.6.7 подъезд</t>
  </si>
  <si>
    <t>№ 14/08</t>
  </si>
  <si>
    <t>№ 13/08</t>
  </si>
  <si>
    <t>№ 12/08</t>
  </si>
  <si>
    <t>№ 11/08</t>
  </si>
  <si>
    <t>№ 10/08</t>
  </si>
  <si>
    <t>№ 9/08</t>
  </si>
  <si>
    <t>№2/08</t>
  </si>
  <si>
    <t>Смена вентилей и клапонов.  1.2 блок</t>
  </si>
  <si>
    <t>№ 2/08</t>
  </si>
  <si>
    <t>Смена венитилей и клапонов кв6</t>
  </si>
  <si>
    <t>Смена вентилей и клапонов. Кв 81</t>
  </si>
  <si>
    <t>Смена вентилей и клапонов. Кв109.21</t>
  </si>
  <si>
    <t>Смена вентилей и клапонов кв56</t>
  </si>
  <si>
    <t>Смена вентилей и клапонов кв51 (насосная)</t>
  </si>
  <si>
    <t>№ 1/08</t>
  </si>
  <si>
    <t>Очистка канализационной сети  13 подвал</t>
  </si>
  <si>
    <t>№ 01/08</t>
  </si>
  <si>
    <t>Очистка канализационной сети (техпроход)</t>
  </si>
  <si>
    <t>Очистка канализационной сети 1, 5подвал</t>
  </si>
  <si>
    <t>№ 05/46</t>
  </si>
  <si>
    <t>Смена отдельных участков трубопровода  кв 105</t>
  </si>
  <si>
    <t>№ 05/48</t>
  </si>
  <si>
    <t xml:space="preserve">Откачка воды из 4 подвала </t>
  </si>
  <si>
    <t>№ 05/49</t>
  </si>
  <si>
    <t>Установка замка кв43</t>
  </si>
  <si>
    <t>№ 05/50</t>
  </si>
  <si>
    <t>Заделка цементным раствором парапетных плит кв49,50,40.</t>
  </si>
  <si>
    <t>№ 05/51</t>
  </si>
  <si>
    <t>Установка дверных приборов 2подезд</t>
  </si>
  <si>
    <t>Демонтаж тамбурной двери.  Вставка</t>
  </si>
  <si>
    <t>№ 05/53</t>
  </si>
  <si>
    <t>Смена стекол  кв 107</t>
  </si>
  <si>
    <t>№ 05/52</t>
  </si>
  <si>
    <t>№ 05/54</t>
  </si>
  <si>
    <t>Обрамление лифтовых кнопок металлом  1 подъезд</t>
  </si>
  <si>
    <t>№05/55</t>
  </si>
  <si>
    <t>Демонтаж электропроводки</t>
  </si>
  <si>
    <t>№ 05/56</t>
  </si>
  <si>
    <t>Навеска плотничной двери   4 подвал</t>
  </si>
  <si>
    <t>№ 05/57</t>
  </si>
  <si>
    <t>Очистка канализационного лежака  кв 16</t>
  </si>
  <si>
    <t>Очистка канализационного стояка кв 197</t>
  </si>
  <si>
    <t>Очистка канализационного лежака   13 подезд</t>
  </si>
  <si>
    <t>№ 05/58</t>
  </si>
  <si>
    <t>Очистка канализационного  выпуска   1 подвал</t>
  </si>
  <si>
    <t>Отчистка канализационного лежака  8подвал</t>
  </si>
  <si>
    <t>№ 05/59</t>
  </si>
  <si>
    <t>Смена вентилей и клапонов 5 подвал</t>
  </si>
  <si>
    <t>№ 05/60</t>
  </si>
  <si>
    <t>Замена лежака ГВС  2,3элеватор, 3,4 подвал</t>
  </si>
  <si>
    <t>№ 05/62</t>
  </si>
  <si>
    <t>Замена стояка   кв 92,95</t>
  </si>
  <si>
    <t>Замена стояка  кв 8</t>
  </si>
  <si>
    <t>№ 05/64</t>
  </si>
  <si>
    <t>Установка дверных приборов  1,4 подвал</t>
  </si>
  <si>
    <t>Установка дверных приборов   4подвал</t>
  </si>
  <si>
    <t>Установка дверных приборов   7 подвал</t>
  </si>
  <si>
    <t>Установка дверных приборов 1 подъезд</t>
  </si>
  <si>
    <t>Установка дверных приборов   2подвал</t>
  </si>
  <si>
    <t>№ 05/63</t>
  </si>
  <si>
    <t>Замена канализации  1 подвал</t>
  </si>
  <si>
    <t>Замена вентилей кв 26,80.</t>
  </si>
  <si>
    <t>Замена отсечного кв 33.</t>
  </si>
  <si>
    <t>№33/04</t>
  </si>
  <si>
    <t>Электромонтажные работы,установка счетчиков.</t>
  </si>
  <si>
    <t>№04/32</t>
  </si>
  <si>
    <t>Установка счетчиков.</t>
  </si>
  <si>
    <t>Регулировка элеватора 2эл.</t>
  </si>
  <si>
    <t>Регулировка элеватора  1 эл.</t>
  </si>
  <si>
    <t>Регулировка  1 эл-ра.</t>
  </si>
  <si>
    <t>Регулировка 3-х элеваторов.</t>
  </si>
  <si>
    <t>Регулировка 1 эл-ра.</t>
  </si>
  <si>
    <t>Регулеровка эллеватора 1 эл-р.</t>
  </si>
  <si>
    <t xml:space="preserve">Регулировка 2 эл-ра </t>
  </si>
  <si>
    <t>Регулеровка 1 элеватора.</t>
  </si>
  <si>
    <t>д/ф№04/18</t>
  </si>
  <si>
    <t>д/в№04/38</t>
  </si>
  <si>
    <t>д/в№04/39</t>
  </si>
  <si>
    <t>д/в№04/40</t>
  </si>
  <si>
    <t>д/в№04/41</t>
  </si>
  <si>
    <t>Работа автомашины,погрузчика.</t>
  </si>
  <si>
    <t>№04/28-20</t>
  </si>
  <si>
    <t>Установка поч.ящиков 2,3,5 под-д.</t>
  </si>
  <si>
    <t>п/р№56-12</t>
  </si>
  <si>
    <t>Установка метал.двери.</t>
  </si>
  <si>
    <t>п/р№55-12</t>
  </si>
  <si>
    <t>д/в№04/1</t>
  </si>
  <si>
    <t>д/в№04/2</t>
  </si>
  <si>
    <t>с/а№2/01</t>
  </si>
  <si>
    <t>с/а№01/2</t>
  </si>
  <si>
    <t>с/акт№2/01</t>
  </si>
  <si>
    <t>№ 05/17</t>
  </si>
  <si>
    <t>Замена сборок вентилей. 3,6 подвал</t>
  </si>
  <si>
    <t>Регулировка 1эл-ра.</t>
  </si>
  <si>
    <t>д/в№04/29</t>
  </si>
  <si>
    <t>Проверка эле-х узлов.</t>
  </si>
  <si>
    <t>д/в №04/30</t>
  </si>
  <si>
    <t>Проверка элев.узла.</t>
  </si>
  <si>
    <t>д/в№04/31</t>
  </si>
  <si>
    <t>Проверка элев.узлов с представителями теплосетей.</t>
  </si>
  <si>
    <t>д/в№04/32</t>
  </si>
  <si>
    <t>Проверка элеваторных узлов с представителями теплосетей.</t>
  </si>
  <si>
    <t>д/в №04/33</t>
  </si>
  <si>
    <t>д/в №04/34</t>
  </si>
  <si>
    <t>Проверка эле-х узлов с представителями теплосетей.</t>
  </si>
  <si>
    <t>д/в №04/36</t>
  </si>
  <si>
    <t>д/в№04/37</t>
  </si>
  <si>
    <t>Проверка элев.узлов с представителем теплосетей .</t>
  </si>
  <si>
    <t>№ Акта</t>
  </si>
  <si>
    <t>Месяц по КС-3</t>
  </si>
  <si>
    <t>вид работ</t>
  </si>
  <si>
    <t>Сумма, руб.</t>
  </si>
  <si>
    <t>Текущий ремонт</t>
  </si>
  <si>
    <t>Строительные работы</t>
  </si>
  <si>
    <t>Плотницкие работы</t>
  </si>
  <si>
    <t>Электрооборудование</t>
  </si>
  <si>
    <t>Техобслуживание</t>
  </si>
  <si>
    <t>Обеспечение санит.состояния жилых зданий и придомовой территории</t>
  </si>
  <si>
    <t>Аварийно-диспетчерская служба</t>
  </si>
  <si>
    <t>Санитарное обслуживание домов</t>
  </si>
  <si>
    <t>Прочие</t>
  </si>
  <si>
    <t>Работы в счет квартплаты</t>
  </si>
  <si>
    <t>Капитальный ремонт</t>
  </si>
  <si>
    <t>Вывоз и захоронение ТБО</t>
  </si>
  <si>
    <t>до 30.06.2012 г.</t>
  </si>
  <si>
    <t>тариф</t>
  </si>
  <si>
    <t>от начисления 10,3%</t>
  </si>
  <si>
    <t>Ремонт инженерного оборудования</t>
  </si>
  <si>
    <t>Ремонтно-строительные работы</t>
  </si>
  <si>
    <t>2012 год</t>
  </si>
  <si>
    <t>Профосмотры</t>
  </si>
  <si>
    <t>Обслуживание лифта</t>
  </si>
  <si>
    <t>Обслуживание мусоропровода</t>
  </si>
  <si>
    <t xml:space="preserve">ИТОГО </t>
  </si>
  <si>
    <t>Внутридомовое газовое обслуживание</t>
  </si>
  <si>
    <t>Затраты на МУП "АРКЦ", ООО УК "Наш дом"</t>
  </si>
  <si>
    <t>ВСЕГО работ по содержанию и ремонту за 2012г.</t>
  </si>
  <si>
    <t>Начислено:содержание и текущий ремонт за 2012г.</t>
  </si>
  <si>
    <t>Начислено: капитальный ремонт за 2012г.</t>
  </si>
  <si>
    <t>Начислено: содержание и текущий ремонт за период с 01.04.2008г по 31.12.2012г.</t>
  </si>
  <si>
    <t>Оплачено:содержание и текущий ремонт за период с 01.04.2008г по 31.12.2012г.</t>
  </si>
  <si>
    <t>Выполнено работ: содержание и текущий ремонт за период с 01.04.2008г по 31.12.2012г.</t>
  </si>
  <si>
    <t>№ 69/12</t>
  </si>
  <si>
    <t>Смена вн. трубопровода кв. 6, 71, 68, 70,73</t>
  </si>
  <si>
    <t>№ 68/12</t>
  </si>
  <si>
    <t>Смена вн. трубопровода в. 79, 82</t>
  </si>
  <si>
    <t>№ 67/11</t>
  </si>
  <si>
    <t>Прочистка канал-ии кв 61, 2,3 подвалы</t>
  </si>
  <si>
    <t>№ 67/12</t>
  </si>
  <si>
    <t>№ 66/12</t>
  </si>
  <si>
    <t>Замена канализ. стояка кв. 23-20,85, ликвидация воздушных пробок кв. 69</t>
  </si>
  <si>
    <t>№ 65/12</t>
  </si>
  <si>
    <t>Замена стояков ГВС, ХВС кв № 58,55, смена вентелей-элеватор</t>
  </si>
  <si>
    <t>Смена вентилей кв. 65,51, 3 подвал</t>
  </si>
  <si>
    <t>№ 64/12</t>
  </si>
  <si>
    <t>№ 63/12</t>
  </si>
  <si>
    <t>Вывоз мусора</t>
  </si>
  <si>
    <t>Навеска замка 8 п.</t>
  </si>
  <si>
    <t>Навеска замка 1п.</t>
  </si>
  <si>
    <t>Навеска замка 1,2п.</t>
  </si>
  <si>
    <t>Навеска замка 2п.</t>
  </si>
  <si>
    <t>Навеска замка 3,4п.</t>
  </si>
  <si>
    <t>Навеска замка 2 шт. мусорокамеры</t>
  </si>
  <si>
    <t>№ 61/12</t>
  </si>
  <si>
    <t>Смена вн. трубопровода кв. 79,82</t>
  </si>
  <si>
    <t>№ 60/12</t>
  </si>
  <si>
    <t>Замена вн. трубопроводов 2 подвал</t>
  </si>
  <si>
    <t>№ 59/12</t>
  </si>
  <si>
    <t>Очистка канал. Сети 1п.</t>
  </si>
  <si>
    <t>№ 58/12</t>
  </si>
  <si>
    <t>Водоотлив из подвала</t>
  </si>
  <si>
    <t>№ 57/12</t>
  </si>
  <si>
    <t>Слив и наполнения стояков ХВС и ГВС кв 62</t>
  </si>
  <si>
    <t>№ 56/12</t>
  </si>
  <si>
    <t>Слив и наполнение водой стояков ХВС  и ГВС  кв60</t>
  </si>
  <si>
    <t>№ 55/12</t>
  </si>
  <si>
    <t>Слив и наполнение водой стояков ГВС и ХВС кв 318</t>
  </si>
  <si>
    <t>№ 54/12</t>
  </si>
  <si>
    <t>Очистка канализационной сети кв 66,63,16. подвал</t>
  </si>
  <si>
    <t>№ 53/12</t>
  </si>
  <si>
    <t>Замена лежака ХВС 4,6подвал.</t>
  </si>
  <si>
    <t>№ 52/12</t>
  </si>
  <si>
    <t>Слив и наполнения водой стояков ХВС и ГВС кв63,30. 6подвал</t>
  </si>
  <si>
    <t>№ 51/12</t>
  </si>
  <si>
    <t>Слив и наполнение водой стояков ХВС, ГВС .  4,8 подвал</t>
  </si>
  <si>
    <t>№ 49/12</t>
  </si>
  <si>
    <t>Очистка канализационной стояка кв129,66,68</t>
  </si>
  <si>
    <t>Смена внутренних трубопроводов из стальных труб кв62, 3п.</t>
  </si>
  <si>
    <t>№ 48/12</t>
  </si>
  <si>
    <t>№ 47/12</t>
  </si>
  <si>
    <t>Очистка лестниц отсенега</t>
  </si>
  <si>
    <t>№ 45/12</t>
  </si>
  <si>
    <t>Очистка дворовых территорий от снега</t>
  </si>
  <si>
    <t>№ 44/12</t>
  </si>
  <si>
    <t>Ремонт ступеней,обшивка окон 4под</t>
  </si>
  <si>
    <t>Навеска замка 8п.</t>
  </si>
  <si>
    <t>Обшивка окон кв 68,92</t>
  </si>
  <si>
    <t>№ 43/12</t>
  </si>
  <si>
    <t>Снятие показаний (замеры температуры и давления )</t>
  </si>
  <si>
    <t>№ 42/12</t>
  </si>
  <si>
    <t>Смена внутренних трубопроводо из стальных труб кв 34,36</t>
  </si>
  <si>
    <t>№ 41/12</t>
  </si>
  <si>
    <t>Слив и наполнение водой ХВС и ГВС кв 2,5</t>
  </si>
  <si>
    <t>№ 40/12</t>
  </si>
  <si>
    <t>Слив и наполнение водой стояков ГВС, ХВС кв61,</t>
  </si>
  <si>
    <t>№ 39/12</t>
  </si>
  <si>
    <t>Прокладка трубопроводов отопления и водоснабжения(регистры)</t>
  </si>
  <si>
    <t>Слив и наполнения стояков ГВС, ХВС кв48</t>
  </si>
  <si>
    <t>№ 106/11</t>
  </si>
  <si>
    <t>Слив и наполнения стояков ГВС, ХВС кв57</t>
  </si>
  <si>
    <t>№ 104/11</t>
  </si>
  <si>
    <t>Слив и наполнения стояков ГВС, ХВС  кв31</t>
  </si>
  <si>
    <t>№ 103/11</t>
  </si>
  <si>
    <t>Слив и наполнения стояков ГВС,ХВС кв 27,30</t>
  </si>
  <si>
    <t>№ 102/11</t>
  </si>
  <si>
    <t>Смена внутреннего трубопровода из стальных труб 2блок, 1п.</t>
  </si>
  <si>
    <t>№ 101/11</t>
  </si>
  <si>
    <t>Смена внутренних трубопроводов из стальных труб кв75,51,33,75,16,88,85,67,43,78,  1,5,6под</t>
  </si>
  <si>
    <t>№ 100/11</t>
  </si>
  <si>
    <t>Разборка трубопроводов  из чугунных канализационных труб 5,10п,  кв124</t>
  </si>
  <si>
    <t>№ 97/11</t>
  </si>
  <si>
    <t>Разборка трубопроводов из чугунных канализационных труб  кв14,48  4п</t>
  </si>
  <si>
    <t>№ 96/11</t>
  </si>
  <si>
    <t>Смена вентилей кв11,13,14; 1,3,4эл; 4,7,122,198; 4п</t>
  </si>
  <si>
    <t>№ 87/11</t>
  </si>
  <si>
    <t>Слив и наполнения стояков ГВС, ХВС кв 69</t>
  </si>
  <si>
    <t>№ 87/12</t>
  </si>
  <si>
    <t>Смена внутренних трубопроводов из стальных труб</t>
  </si>
  <si>
    <t>№ 77/11</t>
  </si>
  <si>
    <t>Разборка и сборка элеваторного узла  кв57 элеватор</t>
  </si>
  <si>
    <t>№ 77/12</t>
  </si>
  <si>
    <t>Смена внутренних трубопроводов из стальных труб кв76</t>
  </si>
  <si>
    <t>№ 76/12</t>
  </si>
  <si>
    <t>Слив и наполнения стояков ГВС, ХВС кв36,44</t>
  </si>
  <si>
    <t>№76/11</t>
  </si>
  <si>
    <t>Слив и наполнения стояка ГВС и ХВС 4п</t>
  </si>
  <si>
    <t>№ 79/12</t>
  </si>
  <si>
    <t>Заделка отверстий гнезд, борозд с2 по5кв</t>
  </si>
  <si>
    <t>Заделка отверстий гнезд, борозд в подвал</t>
  </si>
  <si>
    <t>№ 78/12</t>
  </si>
  <si>
    <t>Слив инаполнения водой стояка ГВС, ХВС кв15</t>
  </si>
  <si>
    <t>Слив инаполнения водой стояка ГВС, ХВС кв1</t>
  </si>
  <si>
    <t>№ 73/12</t>
  </si>
  <si>
    <t>Отключение включение стояков ГВС, ХВС  кв318</t>
  </si>
  <si>
    <t>№ 74/12</t>
  </si>
  <si>
    <t>Слив и наполнения стояков ГВС, ХВС кв33,37</t>
  </si>
  <si>
    <t>№ 72/12</t>
  </si>
  <si>
    <t>Слив и наполнения стояков  ХВС, ГВС кв33</t>
  </si>
  <si>
    <t>№ 71/12</t>
  </si>
  <si>
    <t>Слив  и наполнение стояков ГВС , ХВС кв69,65 5п</t>
  </si>
  <si>
    <t>№ 70/12</t>
  </si>
  <si>
    <t>Слив и наполнения стояко ГВС,ХВС кв 86  2п</t>
  </si>
  <si>
    <t>№ 123/11</t>
  </si>
  <si>
    <t xml:space="preserve">монтаж выключателей 1п </t>
  </si>
  <si>
    <t>№ 121/11</t>
  </si>
  <si>
    <t>Навеска плотничных дверей 1п.</t>
  </si>
  <si>
    <t>Зашивка окон кв16,77</t>
  </si>
  <si>
    <t>№ 120/11</t>
  </si>
  <si>
    <t>Слив и наполнения стояков ГВС, ХВС к49,53</t>
  </si>
  <si>
    <t>№ 119/11</t>
  </si>
  <si>
    <t>Слив и напонение водой стояков ГВС, ХВС кв33,2п</t>
  </si>
  <si>
    <t>№ 118/11</t>
  </si>
  <si>
    <t>Слив и наполнения стояков водой ХВС, ГВС кв 74</t>
  </si>
  <si>
    <t>№ 117/11</t>
  </si>
  <si>
    <t>Очистка канализационной сети  кв 63, 1п</t>
  </si>
  <si>
    <t>№ 116/11</t>
  </si>
  <si>
    <t>Слив и наполнения водой стояка ГВС, ХВС кв32</t>
  </si>
  <si>
    <t>Слив и наполнения водой стояка ГВС, ХВС кв74  подвал</t>
  </si>
  <si>
    <t>№ 115/11</t>
  </si>
  <si>
    <t>Установка шайбы. Подвал</t>
  </si>
  <si>
    <t>№ 114/11</t>
  </si>
  <si>
    <t>Очистка канализационной сети  подвал, 3п</t>
  </si>
  <si>
    <t>113/11</t>
  </si>
  <si>
    <t>Слив и наполнение стояков отопления кв. 69, 1</t>
  </si>
  <si>
    <t>№ 112/11</t>
  </si>
  <si>
    <t>Перезапуск стояка отопления кв. 55, слив и наполнение водой ХВС кв. 44, подвал</t>
  </si>
  <si>
    <t>№ 111/11</t>
  </si>
  <si>
    <t>Ремонт задвижек в элеваторе</t>
  </si>
  <si>
    <t>№ 110/11</t>
  </si>
  <si>
    <t>Слив и наполнение водой стояков ГВС и ХВС, замена  части стояка кв. 401,  501</t>
  </si>
  <si>
    <t>№ 109/11</t>
  </si>
  <si>
    <t xml:space="preserve">Очистка канализационной сети 5п. </t>
  </si>
  <si>
    <t>Очистка канализационной сети кв.18, подвал</t>
  </si>
  <si>
    <t>Очистка канализационной сети кв. 16, подвал</t>
  </si>
  <si>
    <t>№ 108/11</t>
  </si>
  <si>
    <t>Смена вентилей сгонов 1,2,3,4 элеваторы</t>
  </si>
  <si>
    <t>№ 107/11</t>
  </si>
  <si>
    <t>Установка элеваторов, замена крана "маевского" кв. 69</t>
  </si>
  <si>
    <t>д/в№1/12</t>
  </si>
  <si>
    <t>Перезапуск стояков ГВС,ХВС</t>
  </si>
  <si>
    <t>д/в№2/12-1</t>
  </si>
  <si>
    <t>д/в№2/12-2,3,4</t>
  </si>
  <si>
    <t>д/в№3/12</t>
  </si>
  <si>
    <t>д/в№4/12</t>
  </si>
  <si>
    <t>д/в№5/12</t>
  </si>
  <si>
    <t>д/в№9/12</t>
  </si>
  <si>
    <t>д/в№8/12</t>
  </si>
  <si>
    <t>д/в№6/12</t>
  </si>
  <si>
    <t>д/в№18/12</t>
  </si>
  <si>
    <t>д/в№10/12</t>
  </si>
  <si>
    <t>д/в№16/12</t>
  </si>
  <si>
    <t>д/в№11/12</t>
  </si>
  <si>
    <t>д/в№12/12</t>
  </si>
  <si>
    <t>д/в№13/12</t>
  </si>
  <si>
    <t>д/в№17/12</t>
  </si>
  <si>
    <t>д/в№14/12</t>
  </si>
  <si>
    <t>д/в№23/12-1,8</t>
  </si>
  <si>
    <t>д/в№25/12-1,2,5</t>
  </si>
  <si>
    <t>д/в№31/12-6,7,8</t>
  </si>
  <si>
    <t>д/в№15/12</t>
  </si>
  <si>
    <t>д/в№19/22</t>
  </si>
  <si>
    <t>д/в№20/22</t>
  </si>
  <si>
    <t>д/в№25/12-2</t>
  </si>
  <si>
    <t>д/в№28/12-2</t>
  </si>
  <si>
    <t>д/в№21/12</t>
  </si>
  <si>
    <t>д/в№22/12</t>
  </si>
  <si>
    <t>д/в№ 23/12-1,2,3</t>
  </si>
  <si>
    <t>д/в№ 24/12-1,8</t>
  </si>
  <si>
    <t>д/в№ 30/12-5,6,7</t>
  </si>
  <si>
    <t>д/в№ 24/12-2</t>
  </si>
  <si>
    <t>д/в№23/12-5</t>
  </si>
  <si>
    <t>д/в№30/12-8-11</t>
  </si>
  <si>
    <t>д/в№38/12-6,8,9</t>
  </si>
  <si>
    <t>Регулировка элеватора</t>
  </si>
  <si>
    <t>д/в№38/12-2,3</t>
  </si>
  <si>
    <t>Регулировка элеватора  кв 71,63</t>
  </si>
  <si>
    <t>Регулировка элеватора  кв17,9,25,18</t>
  </si>
  <si>
    <t>д/в№33/12</t>
  </si>
  <si>
    <t>Регулировка элеватора кв64</t>
  </si>
  <si>
    <t>д/в№34/12</t>
  </si>
  <si>
    <t>д/в№35/12</t>
  </si>
  <si>
    <t>д/в№36/12</t>
  </si>
  <si>
    <t>д/в№37/12</t>
  </si>
  <si>
    <t>Регулировка элеватора кв 13</t>
  </si>
  <si>
    <t>Регулировка элеватора кв 24</t>
  </si>
  <si>
    <t>д/в№ 38/12-7</t>
  </si>
  <si>
    <t>Регулировка элеватора кв13</t>
  </si>
  <si>
    <t>д/в№ 38/12-1</t>
  </si>
  <si>
    <t>д/в№ 38/12-4,5</t>
  </si>
  <si>
    <t>Регулировка элеватора кв60,53.</t>
  </si>
  <si>
    <t>Отчет ООО УК "Наш дом" по выполненным работам за 2012г. по адресу пр. Мира,40а</t>
  </si>
  <si>
    <t>Отчет ООО УК "Наш дом" по выполненным работам за 2012г. по адресу пр. Мира,42</t>
  </si>
  <si>
    <t>Приказ №   166-12</t>
  </si>
  <si>
    <t>ремонт кровли, кв.40</t>
  </si>
  <si>
    <t>Отчет ООО УК "Наш дом" по выполненным работам за 2012г. по адресу пр. Мира,42а</t>
  </si>
  <si>
    <t>Отчет ООО УК "Наш дом" по выполненным работам за 2012г. по адресу пр. Мира,44а</t>
  </si>
  <si>
    <t>Отчет ООО УК "Наш дом" по выполненным работам за 2012г. по адресу пр. Мира,48</t>
  </si>
  <si>
    <t>Приказ № 148/12</t>
  </si>
  <si>
    <t xml:space="preserve"> Замена водосточной трубы, кв.61</t>
  </si>
  <si>
    <t>Приказ № 13-13</t>
  </si>
  <si>
    <t>Установка металл.двери, п.№ 7</t>
  </si>
  <si>
    <t>Установка металл.двери, п.№ 5</t>
  </si>
  <si>
    <r>
      <rPr>
        <b/>
        <sz val="10"/>
        <rFont val="Arial"/>
        <family val="2"/>
      </rPr>
      <t xml:space="preserve">Отчет ООО УК "Наш дом" по выполненным работам за 2012г. по адресу пр. Мира,46в </t>
    </r>
    <r>
      <rPr>
        <sz val="10"/>
        <rFont val="Arial"/>
        <family val="0"/>
      </rPr>
      <t xml:space="preserve"> 
</t>
    </r>
  </si>
  <si>
    <r>
      <rPr>
        <b/>
        <sz val="10"/>
        <rFont val="Arial"/>
        <family val="2"/>
      </rPr>
      <t xml:space="preserve">Отчет ООО УК "Наш дом" по выполненным работам за 2012г. по адресу пр. Мира,50 </t>
    </r>
    <r>
      <rPr>
        <sz val="10"/>
        <rFont val="Arial"/>
        <family val="0"/>
      </rPr>
      <t xml:space="preserve"> 
</t>
    </r>
  </si>
  <si>
    <r>
      <rPr>
        <b/>
        <sz val="10"/>
        <rFont val="Arial"/>
        <family val="2"/>
      </rPr>
      <t xml:space="preserve">Отчет ООО УК "Наш дом" по выполненным работам за 2012г. по адресу пр. Мира,52 б </t>
    </r>
    <r>
      <rPr>
        <sz val="10"/>
        <rFont val="Arial"/>
        <family val="0"/>
      </rPr>
      <t xml:space="preserve"> 
</t>
    </r>
  </si>
  <si>
    <t>Пр.№168-12</t>
  </si>
  <si>
    <t>Утепление стены, кв.15</t>
  </si>
  <si>
    <r>
      <rPr>
        <b/>
        <sz val="10"/>
        <rFont val="Arial"/>
        <family val="2"/>
      </rPr>
      <t>Отчет ООО УК "Наш дом" по выполненным работам за 2012г. по адресу пр. Мира,56</t>
    </r>
    <r>
      <rPr>
        <sz val="10"/>
        <rFont val="Arial"/>
        <family val="0"/>
      </rPr>
      <t xml:space="preserve"> 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</si>
  <si>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Октябрьский,1</t>
    </r>
    <r>
      <rPr>
        <sz val="10"/>
        <rFont val="Arial"/>
        <family val="0"/>
      </rPr>
      <t xml:space="preserve">
</t>
    </r>
  </si>
  <si>
    <t>Установка метал.двери., п.1</t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</si>
  <si>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Октябрьский,3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</si>
  <si>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Октябрьский,5</t>
    </r>
    <r>
      <rPr>
        <sz val="10"/>
        <rFont val="Arial"/>
        <family val="0"/>
      </rPr>
      <t xml:space="preserve">
</t>
    </r>
  </si>
  <si>
    <t>Отчистка лесниц от снега и наледи</t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</si>
  <si>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Октябрьский,7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</si>
  <si>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Октябрьский,7а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</si>
  <si>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Октябрьский,7б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</si>
  <si>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Октябрьский,7в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</si>
  <si>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Октябрьский,9</t>
    </r>
    <r>
      <rPr>
        <sz val="10"/>
        <rFont val="Arial"/>
        <family val="0"/>
      </rPr>
      <t xml:space="preserve">
</t>
    </r>
  </si>
  <si>
    <t xml:space="preserve">Приказ     №6-12 </t>
  </si>
  <si>
    <t xml:space="preserve"> Установка метал.двери,п.№2</t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</si>
  <si>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Октябрьский,9а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</si>
  <si>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Октябрьский,9б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</si>
  <si>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Октябрьский,13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</si>
  <si>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Октябрьский,13а</t>
    </r>
    <r>
      <rPr>
        <sz val="10"/>
        <rFont val="Arial"/>
        <family val="0"/>
      </rPr>
      <t xml:space="preserve">
</t>
    </r>
  </si>
  <si>
    <t>Устройство кровли из наплавляемых материалов  кв 38</t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</si>
  <si>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Октябрьский,21</t>
    </r>
    <r>
      <rPr>
        <sz val="10"/>
        <rFont val="Arial"/>
        <family val="0"/>
      </rPr>
      <t xml:space="preserve">
</t>
    </r>
  </si>
  <si>
    <t>ФЗ №185</t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</si>
  <si>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Октябрьский,17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</si>
  <si>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Октябрьский,19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</si>
  <si>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Октябрьский,21а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</si>
  <si>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Октябрьский,23</t>
    </r>
    <r>
      <rPr>
        <sz val="10"/>
        <rFont val="Arial"/>
        <family val="0"/>
      </rPr>
      <t xml:space="preserve">
</t>
    </r>
  </si>
  <si>
    <t>Очистка от мусора в подвале</t>
  </si>
  <si>
    <r>
      <rPr>
        <b/>
        <sz val="10"/>
        <rFont val="Arial"/>
        <family val="2"/>
      </rPr>
      <t>Отчет ООО УК "Наш дом" по выполненным работам за 2012г. по адресу пр. Октябрьский,23а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</si>
  <si>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Строителей,17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</si>
  <si>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Строителей,17в</t>
    </r>
    <r>
      <rPr>
        <sz val="10"/>
        <rFont val="Arial"/>
        <family val="0"/>
      </rPr>
      <t xml:space="preserve">
</t>
    </r>
  </si>
  <si>
    <t>Установка шарниров и проушин на метал-кую дверь.</t>
  </si>
  <si>
    <t>№04/68</t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</si>
  <si>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Строителей,19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</si>
  <si>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Строителей,19/1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</si>
  <si>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Строителей,19а/1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</si>
  <si>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Строителей,19а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</si>
  <si>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Строителей,19в</t>
    </r>
    <r>
      <rPr>
        <sz val="10"/>
        <rFont val="Arial"/>
        <family val="0"/>
      </rPr>
      <t xml:space="preserve">
</t>
    </r>
  </si>
  <si>
    <t>Вед. № 23/03</t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</si>
  <si>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Строителей,19б</t>
    </r>
    <r>
      <rPr>
        <sz val="10"/>
        <rFont val="Arial"/>
        <family val="0"/>
      </rPr>
      <t xml:space="preserve">
</t>
    </r>
  </si>
  <si>
    <r>
      <rPr>
        <b/>
        <sz val="10"/>
        <rFont val="Arial"/>
        <family val="2"/>
      </rPr>
      <t>Отчет ООО УК "Наш дом" по выполненным работам за 2012г. по адресу пр. Строителей,19г</t>
    </r>
    <r>
      <rPr>
        <sz val="10"/>
        <rFont val="Arial"/>
        <family val="0"/>
      </rPr>
      <t xml:space="preserve">
</t>
    </r>
  </si>
  <si>
    <t>ООО Ремстройсервис Капитальный ремонт кровли (работа автокрана,автомобиля)</t>
  </si>
  <si>
    <t>Задолженность перед  УК: капитальный ремонт (по начислению) по состоянию на 31.12.2012г.</t>
  </si>
  <si>
    <t>Задолженность перед  УК по выполненным работам по содержанию и ремонту (по факту оплаты) по состоянию на 31.12.2012г.</t>
  </si>
  <si>
    <t>Задолженность  перед УК: содержание и текущий ремонт (по начислению) по состоянию на 31.12.2012г.</t>
  </si>
  <si>
    <t>д/в №23/12-1,8</t>
  </si>
  <si>
    <t>Перезапуск стояков ГВС, ХВС</t>
  </si>
  <si>
    <t>д/в№23/12-6,7</t>
  </si>
  <si>
    <t>д/в№ 24/12-3</t>
  </si>
  <si>
    <t>д/в№ 26/12-1,6</t>
  </si>
  <si>
    <t>д/в№ 29/12-12-14</t>
  </si>
  <si>
    <t>д/в№ 24/12-4,5</t>
  </si>
  <si>
    <t>д/в№ 29/12-1,2</t>
  </si>
  <si>
    <t>д/в№ 25/12-5,7</t>
  </si>
  <si>
    <t>д/в№24/12-6,7</t>
  </si>
  <si>
    <t>д/в№ 30/12-1,2,3,4</t>
  </si>
  <si>
    <t>д/в№32/12-3</t>
  </si>
  <si>
    <t>Перезапуск стояков  ГВС, ХВС</t>
  </si>
  <si>
    <t>д/в№ 32/12-3</t>
  </si>
  <si>
    <t>д/в №25/12-3,4</t>
  </si>
  <si>
    <t>д/в№26/12-3</t>
  </si>
  <si>
    <t>д/в№29/12-3,4</t>
  </si>
  <si>
    <t>д/в№31/12-1-5</t>
  </si>
  <si>
    <t>д/в №32/12-2,4</t>
  </si>
  <si>
    <t>д/в№28/12</t>
  </si>
  <si>
    <t>д/в№29/12-5-11</t>
  </si>
  <si>
    <t>д/в№25/12-4</t>
  </si>
  <si>
    <t>д/в№28/12-3,4,5,6,7</t>
  </si>
  <si>
    <t>д/в№27/12</t>
  </si>
  <si>
    <t>д/в№31/12-9-16</t>
  </si>
  <si>
    <t>д/в№32/12-5</t>
  </si>
  <si>
    <t>д/в№ 25/12-6</t>
  </si>
  <si>
    <t>№02/11(декабрь)</t>
  </si>
  <si>
    <t>№ 51/11</t>
  </si>
  <si>
    <t>№ 52/11</t>
  </si>
  <si>
    <t xml:space="preserve">Установка электросчетчиков </t>
  </si>
  <si>
    <t>Установка электросчетчиков</t>
  </si>
  <si>
    <t>№ 03/32</t>
  </si>
  <si>
    <t>Демонтаж, монтаж автоматов 1блок 5этаж</t>
  </si>
  <si>
    <t>№ 03/31</t>
  </si>
  <si>
    <t xml:space="preserve">Монтаж эл.счетчиков, эл.автоматов  </t>
  </si>
  <si>
    <t>№ 03/30</t>
  </si>
  <si>
    <t>Монтаж эл.счетчиков</t>
  </si>
  <si>
    <t>№ 03/29</t>
  </si>
  <si>
    <t xml:space="preserve">Ремонт и ревизия групповых щетков </t>
  </si>
  <si>
    <t>№ 03/28</t>
  </si>
  <si>
    <t>Ремонт групповых щетков</t>
  </si>
  <si>
    <t>Электромонтажные работы</t>
  </si>
  <si>
    <t>№ 03/27</t>
  </si>
  <si>
    <t>№ 03/25</t>
  </si>
  <si>
    <t>Монтаж канализационного стояка кв 24</t>
  </si>
  <si>
    <t>№ 03/23</t>
  </si>
  <si>
    <t>Демонтаж канализационной трубы 4,5подвал</t>
  </si>
  <si>
    <t>№ 03/22</t>
  </si>
  <si>
    <t>Смена внутрених трубопроводов 11,12,13,14-подвал</t>
  </si>
  <si>
    <t>№ 03/21</t>
  </si>
  <si>
    <t>Демонтаж труб чугунных 1,2подвал</t>
  </si>
  <si>
    <t>№ 03/20</t>
  </si>
  <si>
    <t>.Врезка замена вентиля кв 123,1элеватор, 1подвал.</t>
  </si>
  <si>
    <t>№ 03/19</t>
  </si>
  <si>
    <t>Демонтаж трубы 1подвал</t>
  </si>
  <si>
    <t>№ 03/18</t>
  </si>
  <si>
    <t>Смена вентилей и клапонов кв 1</t>
  </si>
  <si>
    <t>№ 03/17</t>
  </si>
  <si>
    <t>Смена отдельных участков трубопровода с 1 по 2 п.</t>
  </si>
  <si>
    <t>№ 03/15</t>
  </si>
  <si>
    <t>Отчистка канализационной сети 1подвал</t>
  </si>
  <si>
    <t>Замена канализации. подва по 90 кв</t>
  </si>
  <si>
    <t>№ 03/14</t>
  </si>
  <si>
    <t>Отчистка канализационной сети 7,8,9п</t>
  </si>
  <si>
    <t>Отчисстка канализационной сети. 14п.</t>
  </si>
  <si>
    <t>№ 02/14</t>
  </si>
  <si>
    <t>Отчистка канализационного лежака 5подвал</t>
  </si>
  <si>
    <t>Отчистка канализационного лежака. 1подвал</t>
  </si>
  <si>
    <t>Демонтаж и монтаж канализационной трубы. 3,8 подвал</t>
  </si>
  <si>
    <t>Отчистка канализационного лежака 8,9 подвал</t>
  </si>
  <si>
    <t>№ 02/13</t>
  </si>
  <si>
    <t>Отчистка канализационного лежака 4подъезд, 5подвал</t>
  </si>
  <si>
    <t xml:space="preserve">Уборка строительног мусора </t>
  </si>
  <si>
    <t>№ 01/1</t>
  </si>
  <si>
    <t>№ 8/08</t>
  </si>
  <si>
    <t>Отчистка то мусора (подвал)</t>
  </si>
  <si>
    <t>№ 32/08</t>
  </si>
  <si>
    <t>№ 32/8</t>
  </si>
  <si>
    <t>Отчистка от мусора (подвалы)</t>
  </si>
  <si>
    <t>Отчистка от  мусора (подвалы)</t>
  </si>
  <si>
    <t>Отчистка брошенных квартир от мусора кв 2</t>
  </si>
  <si>
    <t>Уборка подвалов от мусора, погрузка строительного мусора 5подъезд</t>
  </si>
  <si>
    <t>№ 01/16</t>
  </si>
  <si>
    <t>Крепление металлических свесов</t>
  </si>
  <si>
    <t>№ 01/15</t>
  </si>
  <si>
    <t>Посыпка песком</t>
  </si>
  <si>
    <t xml:space="preserve">Январь </t>
  </si>
  <si>
    <t>Посыпка песка</t>
  </si>
  <si>
    <t>№ 01/14</t>
  </si>
  <si>
    <t>Установка дверного подотна 3подъезд</t>
  </si>
  <si>
    <t>№ 01/13</t>
  </si>
  <si>
    <t>Заделка перекрытий гнезд и бороза: в железобетонных перекрытий.кв 46</t>
  </si>
  <si>
    <t>№ 01/12</t>
  </si>
  <si>
    <t>Зшивка продухов ДСП б/у</t>
  </si>
  <si>
    <t>№ 01/11</t>
  </si>
  <si>
    <t>№ 01/10</t>
  </si>
  <si>
    <t>Зашивка оконных проемов ДСП б/у 2 блок</t>
  </si>
  <si>
    <t>№ 01/9</t>
  </si>
  <si>
    <t xml:space="preserve">Установка дверны полотен </t>
  </si>
  <si>
    <t>№ 01/8</t>
  </si>
  <si>
    <t>Смена стекол 1 подъезд</t>
  </si>
  <si>
    <t>Смена стекол 1встака, 5 подъезд</t>
  </si>
  <si>
    <t>№ 01/7</t>
  </si>
  <si>
    <t>Перенавестка дверного полотна 5 подъезд, 5 подвал.</t>
  </si>
  <si>
    <t>№ 01/6</t>
  </si>
  <si>
    <t>Зашивка продухов ДСП б/у</t>
  </si>
  <si>
    <t>№ 01/5</t>
  </si>
  <si>
    <t>Замена погонажа на дверной коробке</t>
  </si>
  <si>
    <t>№ 01/4</t>
  </si>
  <si>
    <t>Смена дверных приборов: пружин</t>
  </si>
  <si>
    <t>№ 01/3</t>
  </si>
  <si>
    <t xml:space="preserve">Заделка отверстий, гнезд иборозд: в перекрытиях железобетонных. Кв 46, 49, 52, 58 </t>
  </si>
  <si>
    <t>Обшивка каркасных стен.</t>
  </si>
  <si>
    <t>№ 11/4</t>
  </si>
  <si>
    <t>Зшивка окон</t>
  </si>
  <si>
    <t>№ 01/2</t>
  </si>
  <si>
    <t>Установка полотна в квартиру кв 46</t>
  </si>
  <si>
    <t>№ 01/74</t>
  </si>
  <si>
    <t>отчистка канализационного лежака</t>
  </si>
  <si>
    <t>Отчистка канализационного стояка кв 3</t>
  </si>
  <si>
    <t>Отчистка канализационного стояка кв 114</t>
  </si>
  <si>
    <t>Отчистка канализационного стояка кв5</t>
  </si>
  <si>
    <t>Отчистка канализационного выпуска 2,8 подвал</t>
  </si>
  <si>
    <t>Установка трубопроводов канализации кв47,62</t>
  </si>
  <si>
    <t>Отчистка канализационного стояка кв 61</t>
  </si>
  <si>
    <t>Демонтаж и монтаж канализационной тубы 1,2подвал</t>
  </si>
  <si>
    <t>Установка трубопроводав канализации 1подвал</t>
  </si>
  <si>
    <t>№ 01/76</t>
  </si>
  <si>
    <t>№ 01/73</t>
  </si>
  <si>
    <t>Ревизия отсечного вентиля кв 18</t>
  </si>
  <si>
    <t>Ревизия отсечного вентиля кв101</t>
  </si>
  <si>
    <t>Ревизия отсечного вентиля кв 5</t>
  </si>
  <si>
    <t>Замена отсечного вентиля кв 82</t>
  </si>
  <si>
    <t>Замена отсечного вентиля кв 55</t>
  </si>
  <si>
    <t>д/в№139</t>
  </si>
  <si>
    <t>Промыва системы отопления</t>
  </si>
  <si>
    <t>д/в№131-16</t>
  </si>
  <si>
    <t>д/в№103-10</t>
  </si>
  <si>
    <t>д/в№103-11</t>
  </si>
  <si>
    <t>д/в№103-13</t>
  </si>
  <si>
    <t>№131-12</t>
  </si>
  <si>
    <t>д/в№131-12</t>
  </si>
  <si>
    <t>Сенябрь</t>
  </si>
  <si>
    <t>д/в№131-14</t>
  </si>
  <si>
    <t>д/в№131-15</t>
  </si>
  <si>
    <t>Смена вентилей и клапонов 1 подвал</t>
  </si>
  <si>
    <t>Ревизия вентилей и клапонов кв 26</t>
  </si>
  <si>
    <t>Монтаж гибкой подвотки кв 38</t>
  </si>
  <si>
    <t>Смена вентилей и клапонов кв 27</t>
  </si>
  <si>
    <t>Смена вентиляций и клапанов кв 30</t>
  </si>
  <si>
    <t>№ 01/72</t>
  </si>
  <si>
    <t>Замена отсечного вентиля кв 21</t>
  </si>
  <si>
    <t>№ 12/72</t>
  </si>
  <si>
    <t>Смена отдельных участков трубы кв 21,27</t>
  </si>
  <si>
    <t>№ 01/71</t>
  </si>
  <si>
    <t>Смена отдельных участков тубопровода кв 65,66,125</t>
  </si>
  <si>
    <t>Установка дверного замка 4 подвал</t>
  </si>
  <si>
    <t>№ 01/70</t>
  </si>
  <si>
    <t>Установка дверного замка 4подвал</t>
  </si>
  <si>
    <t>Установка дверного замка 1,4 подвал</t>
  </si>
  <si>
    <t>Установка дверного замка 1 подвал</t>
  </si>
  <si>
    <t>№ 09/30</t>
  </si>
  <si>
    <t>№ 35а/08</t>
  </si>
  <si>
    <t>№ 132-17</t>
  </si>
  <si>
    <t>№ 132-18</t>
  </si>
  <si>
    <t>Очистка от мусора (козырьки) 1,2,3,4,5,6 под.</t>
  </si>
  <si>
    <t>№ 132-19</t>
  </si>
  <si>
    <t>№ 132-20</t>
  </si>
  <si>
    <t>№ 132-21</t>
  </si>
  <si>
    <t>Очистка от мусора (козырьки) 1,2,3,4под.</t>
  </si>
  <si>
    <t>№ 132-22</t>
  </si>
  <si>
    <t>Очистка от мусора (козырьки) 1,2под.</t>
  </si>
  <si>
    <t>№ 132-23</t>
  </si>
  <si>
    <t>№ 132-24</t>
  </si>
  <si>
    <t>№ 132-25</t>
  </si>
  <si>
    <t>Очистка от мусора (козырьки) 1,2,3,4,5,6,7под.</t>
  </si>
  <si>
    <t>№ 132-26</t>
  </si>
  <si>
    <t>Очистка от мусора (козырьки) 1,2,3,4,5,6под.</t>
  </si>
  <si>
    <t>№ 132-27</t>
  </si>
  <si>
    <t>№ 132-28</t>
  </si>
  <si>
    <t>№ 132-29</t>
  </si>
  <si>
    <t>Очистка от мусора (козырьки) 1,2,3,4,5под.</t>
  </si>
  <si>
    <t>№ 132-30</t>
  </si>
  <si>
    <t>№ 132-31</t>
  </si>
  <si>
    <t>№ 132-32</t>
  </si>
  <si>
    <t>Очистка от мусора (козырьки) 1,2,3,4,5,6,7,8под.</t>
  </si>
  <si>
    <t>д/в№126</t>
  </si>
  <si>
    <t>д/в№127-1</t>
  </si>
  <si>
    <t>д/в№127-3</t>
  </si>
  <si>
    <t>Опресовка системы отопления (1элеватор)</t>
  </si>
  <si>
    <t>Опресовка системы отопления (3 элеватор)</t>
  </si>
  <si>
    <t>д/в№128-4</t>
  </si>
  <si>
    <t>д/в№129-9</t>
  </si>
  <si>
    <t>д/в№128-6</t>
  </si>
  <si>
    <t>д/в№140-1</t>
  </si>
  <si>
    <t>д/в№140-2</t>
  </si>
  <si>
    <t>Опресовка системы отопления (1,2,3элеватор)</t>
  </si>
  <si>
    <t>д/в№140-3</t>
  </si>
  <si>
    <t>д/в№140-5</t>
  </si>
  <si>
    <t>Опресовка системы отопления (1 элеватор)</t>
  </si>
  <si>
    <t>д/в№140-6</t>
  </si>
  <si>
    <t>Опресовка системы отопления (1,2,3,4 элеватор)</t>
  </si>
  <si>
    <t>д/в№140-7</t>
  </si>
  <si>
    <t>Опресовка системы отопления (1  элеватор)</t>
  </si>
  <si>
    <t>д/в№127-2</t>
  </si>
  <si>
    <t>Опресовка системы отопления (2,3 элеватор)</t>
  </si>
  <si>
    <t>д/в№129-7</t>
  </si>
  <si>
    <t>д/в№129-8</t>
  </si>
  <si>
    <t>д/в№128-5</t>
  </si>
  <si>
    <t>д/в№125</t>
  </si>
  <si>
    <t>д/в№124</t>
  </si>
  <si>
    <t>д/в№123</t>
  </si>
  <si>
    <t>д/в№122</t>
  </si>
  <si>
    <t>д/в№121</t>
  </si>
  <si>
    <t>д/в№120</t>
  </si>
  <si>
    <t>Отключение стояка по ГВС кв507</t>
  </si>
  <si>
    <t>Включение стояка по ХВС кв 303</t>
  </si>
  <si>
    <t>Отключение стояка по ГВС кв506</t>
  </si>
  <si>
    <t>Отключение, включение стояка по ГВС и ХВС кв506</t>
  </si>
  <si>
    <t>Отключение, включение стояка по ГВС и ХВС кв504</t>
  </si>
  <si>
    <t>Отключение стояка кв 205</t>
  </si>
  <si>
    <t>д/в№137-1</t>
  </si>
  <si>
    <t>Отключеие стояка по ХВС кв114</t>
  </si>
  <si>
    <t>д/в№137-2,3</t>
  </si>
  <si>
    <t>Запуск стояка ХВС кв77</t>
  </si>
  <si>
    <t>д/в№138-2</t>
  </si>
  <si>
    <t>Отключение стояка по ХВС кв 27</t>
  </si>
  <si>
    <t>д/в№138-10</t>
  </si>
  <si>
    <t>Отключение стояка по ХВС и ГВС кв 130</t>
  </si>
  <si>
    <t>д/в№138-7</t>
  </si>
  <si>
    <t>Отключеие стояка по ХВС кв 71</t>
  </si>
  <si>
    <t>д/в№137-4</t>
  </si>
  <si>
    <t>Отключение стояка ХВС кв 5</t>
  </si>
  <si>
    <t>д/в№138-1</t>
  </si>
  <si>
    <t>Перезапуск стояка ГВС кв9</t>
  </si>
  <si>
    <t>д/в№138-3</t>
  </si>
  <si>
    <t>д/в№138-11</t>
  </si>
  <si>
    <t>Перезапуск стояка п/сушки кв 50</t>
  </si>
  <si>
    <t>Отключение стояка ГВС кв 107</t>
  </si>
  <si>
    <t>д/в№138-8</t>
  </si>
  <si>
    <t>Включение стояка по ГВС кв 55</t>
  </si>
  <si>
    <t>д/в№138-4</t>
  </si>
  <si>
    <t>д/в№138-9</t>
  </si>
  <si>
    <t>Отключение ГВС 1 подвал</t>
  </si>
  <si>
    <t>Отключение дома по ГВС кв 44</t>
  </si>
  <si>
    <t>д/в№138-5,6</t>
  </si>
  <si>
    <t>Запуск стояка по ХВС кв 11</t>
  </si>
  <si>
    <t>Устаеновка дверного замка 1 подвал</t>
  </si>
  <si>
    <t>Установка дверного замка 2 подвал</t>
  </si>
  <si>
    <t>Установка дверного замка 7 подвал</t>
  </si>
  <si>
    <t>Установка дверного полотна 2подъезд кв 18</t>
  </si>
  <si>
    <t>Установка дверного замка кв 7</t>
  </si>
  <si>
    <t xml:space="preserve">Установка дверного замка 6 подвал </t>
  </si>
  <si>
    <t xml:space="preserve">Установка дверного замка 7 подвал </t>
  </si>
  <si>
    <t>Установка дери 2 подъезд</t>
  </si>
  <si>
    <t>Установка дерного замка 3подвал</t>
  </si>
  <si>
    <t>Установка дверного замка 2,4,6 подвал</t>
  </si>
  <si>
    <t>Установка дверного замка 1,11 подвал</t>
  </si>
  <si>
    <t>№ 01/69</t>
  </si>
  <si>
    <t>Прикручивание дверей на саморезы 1,4 подъезд</t>
  </si>
  <si>
    <t>№ 01/68</t>
  </si>
  <si>
    <t>Изоляция трубопроводов 1подвал</t>
  </si>
  <si>
    <t>Обшивка тамбурной двери 2подъезд</t>
  </si>
  <si>
    <t>№ 01/67</t>
  </si>
  <si>
    <t>Установка дверных приборов кв307, слесарка у дворника</t>
  </si>
  <si>
    <t>№ 01/66</t>
  </si>
  <si>
    <t>№ 01/65</t>
  </si>
  <si>
    <t>Смена дверных приборов кв 74</t>
  </si>
  <si>
    <t>Заделка отверстий гнезд и борозд кв 23</t>
  </si>
  <si>
    <t>№ 01/64</t>
  </si>
  <si>
    <t>№ 01/63</t>
  </si>
  <si>
    <t>Установка дверных полотен 1 подъезд</t>
  </si>
  <si>
    <t>Установка дверных полотен 2 подъезд</t>
  </si>
  <si>
    <t>№ 01/62</t>
  </si>
  <si>
    <t>№ 01/61</t>
  </si>
  <si>
    <t>№ 01/60</t>
  </si>
  <si>
    <t xml:space="preserve">Забивка продухов 3 блок </t>
  </si>
  <si>
    <t>Ремонт покрытия из асбоцементных листов (кровля)</t>
  </si>
  <si>
    <t>№ 01/59</t>
  </si>
  <si>
    <t>Демонтаж дверного блокак 1подъезд</t>
  </si>
  <si>
    <t>№ 01/58</t>
  </si>
  <si>
    <t>Заделка отверстий, гнезд борозд кв 46</t>
  </si>
  <si>
    <t>№ 01/56</t>
  </si>
  <si>
    <t>Разборка трубопровода из водогазопроводных туб 1подъезд</t>
  </si>
  <si>
    <t>№ 01/55</t>
  </si>
  <si>
    <t>Отчистка канализаций в подвале кв 71</t>
  </si>
  <si>
    <t>Отчистка канализационного лежака 4,5 подъезд</t>
  </si>
  <si>
    <t>Отчистка канализационного лежака 3,4 подвал</t>
  </si>
  <si>
    <t>Отчистка канализационного лежака 1,3,4 плдвал</t>
  </si>
  <si>
    <t>№ 01/54</t>
  </si>
  <si>
    <t>Ремонт задвижек ( подвал )</t>
  </si>
  <si>
    <t>Смена отдельных участков трубопровода кв 109</t>
  </si>
  <si>
    <t>№ 01/53</t>
  </si>
  <si>
    <t>Смена отдельных учасастков трубопровода кв 34</t>
  </si>
  <si>
    <t>№ 01/52</t>
  </si>
  <si>
    <t>Ревизия сгонов у трубопровода кв 43</t>
  </si>
  <si>
    <t>№ 01/50</t>
  </si>
  <si>
    <t>Ревизия вентиляций им клапонов кв 34</t>
  </si>
  <si>
    <t>№ 01/51</t>
  </si>
  <si>
    <t>Смена вентилей и клапонов кв38</t>
  </si>
  <si>
    <t>Ревизия вентилей и клапонов кв28</t>
  </si>
  <si>
    <t>Замена вентилей и клапонов кв 38</t>
  </si>
  <si>
    <t>№ 01/49</t>
  </si>
  <si>
    <t>Справка</t>
  </si>
  <si>
    <t>Спрака</t>
  </si>
  <si>
    <t>Спрвка</t>
  </si>
  <si>
    <t>Разборка и зборка эллектроо узла кв 13,46.</t>
  </si>
  <si>
    <t>№ 01/48</t>
  </si>
  <si>
    <t>Монтаж и демонтаж вентилей и клапонов кв 16,9</t>
  </si>
  <si>
    <t>№ 01/47</t>
  </si>
  <si>
    <t>Перемотка конторгайки 3подъезд</t>
  </si>
  <si>
    <t>№ 01/46</t>
  </si>
  <si>
    <t>Демонтаж радиаторов кв 84</t>
  </si>
  <si>
    <t>№ 01/45</t>
  </si>
  <si>
    <t>Установка заглушек кв 12,17</t>
  </si>
  <si>
    <t>№ 01/44</t>
  </si>
  <si>
    <t>Смена отдельных участков трубопровода кв 16,19,37,22</t>
  </si>
  <si>
    <t>№ 01/43</t>
  </si>
  <si>
    <t>Смена отдельных участков трубопровода кв 37</t>
  </si>
  <si>
    <t>Смена стояков у трубопровода 6,7,10,12,14 подвал. Кв 102</t>
  </si>
  <si>
    <t>№ 01/42</t>
  </si>
  <si>
    <t>Смена отдельных участков тубопровода кв186,184. 13под</t>
  </si>
  <si>
    <t>№ 01/41</t>
  </si>
  <si>
    <t>Уборка лестничных клеток и придомовой территории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</si>
  <si>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</si>
  <si>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</si>
  <si>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</si>
  <si>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</si>
  <si>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</si>
  <si>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</si>
  <si>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</si>
  <si>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</si>
  <si>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</si>
  <si>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</si>
  <si>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</si>
  <si>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Уборка лестничных клеток и придомовой территории.</t>
  </si>
  <si>
    <t>Уборка лесничных клеток и придомово территории</t>
  </si>
  <si>
    <t>Уборка лестничных клеток придомовой территории</t>
  </si>
  <si>
    <t>Уборка лестничных клеток и придомовой террритории</t>
  </si>
  <si>
    <t>Уборка лесничных клеток и придомовой территории</t>
  </si>
  <si>
    <t>Уборка лестничных клеток и придомовой территоии</t>
  </si>
  <si>
    <t>Уборка лестничны клеток и придомовой территории</t>
  </si>
  <si>
    <t>Уборка лестничных клетоки придомовой территории</t>
  </si>
  <si>
    <t>Уборка лестнирчных клеток и придомовой территории</t>
  </si>
  <si>
    <t>№ 26/01</t>
  </si>
  <si>
    <t>Отчистка козырьков от снега</t>
  </si>
  <si>
    <t>№ 35/01</t>
  </si>
  <si>
    <t>Отчистка лестниц от снега</t>
  </si>
  <si>
    <t>Отчистка лестниц от снега и наледи</t>
  </si>
  <si>
    <t>№ 34/01</t>
  </si>
  <si>
    <t>Отчистка ступенек в подъезде от наледи</t>
  </si>
  <si>
    <t>№ 37/01</t>
  </si>
  <si>
    <t>Демантаж и установка почтовых ящиков 1,2,3подъезд</t>
  </si>
  <si>
    <t>№ 23/12</t>
  </si>
  <si>
    <t xml:space="preserve">Удаление сосулек с кровли </t>
  </si>
  <si>
    <t>№ 75/10</t>
  </si>
  <si>
    <t>Заделка отверстий в ж/б стен ппанели кв131</t>
  </si>
  <si>
    <t>Установка наружных полотен  кв504</t>
  </si>
  <si>
    <t>Зделка отверстий гнезд, борозд кв48.51.77</t>
  </si>
  <si>
    <t>Заделка отверстий гнезд и борозд кв-8</t>
  </si>
  <si>
    <t>№ 74/10</t>
  </si>
  <si>
    <t>Ремонт водосточной трубы</t>
  </si>
  <si>
    <t>№ 73/10</t>
  </si>
  <si>
    <t>№ 72/10</t>
  </si>
  <si>
    <t>Ремонт водосточных труб</t>
  </si>
  <si>
    <t>№ 71/10</t>
  </si>
  <si>
    <t>№ 70/10</t>
  </si>
  <si>
    <t>Ремонт водосточной трубы кв 4</t>
  </si>
  <si>
    <t>№ 69/10</t>
  </si>
  <si>
    <t>Демонтаж, монтаж деревяного конька кв58.59.60.43.44.45</t>
  </si>
  <si>
    <t>Проклейка примыканий  кв-70</t>
  </si>
  <si>
    <t>Проклейка примыканий кв-45</t>
  </si>
  <si>
    <t>№ 68/10</t>
  </si>
  <si>
    <t>Ремонт шиферной кровли  кв-15.40</t>
  </si>
  <si>
    <t>№ 66/10</t>
  </si>
  <si>
    <t>№ 65/10</t>
  </si>
  <si>
    <t>Ревизия вентилей, смена вентиля. Кв-46  элеватор</t>
  </si>
  <si>
    <t>№ 64/10</t>
  </si>
  <si>
    <t>Змена подводки,смена внутреннего водопровода кв-54</t>
  </si>
  <si>
    <t>№ 61/10</t>
  </si>
  <si>
    <t>Смена внутреннего воджопровода  кв67.68</t>
  </si>
  <si>
    <t>№ 59/10</t>
  </si>
  <si>
    <t>Смена внутренних трубопроводов из стальных труб.  1подвал</t>
  </si>
  <si>
    <t>№ 57/10</t>
  </si>
  <si>
    <t>Замена отдельных участков трубопровода кв-84,7,39. 1эл. 2под</t>
  </si>
  <si>
    <t>№ 56/10</t>
  </si>
  <si>
    <t>Замена стояка ХВС  кв81.78.62.44.50  4подвал.  Элеватор</t>
  </si>
  <si>
    <t>№ 54/10</t>
  </si>
  <si>
    <t>Зваривание свища  кв42.37</t>
  </si>
  <si>
    <t>№ 32/11</t>
  </si>
  <si>
    <t>ноябрь</t>
  </si>
  <si>
    <t>№31/11</t>
  </si>
  <si>
    <t>Сантехнические работы 1,2,3,4 элеваторы</t>
  </si>
  <si>
    <t>№ 31/09</t>
  </si>
  <si>
    <t>Смена стекла 1,2 подъезд</t>
  </si>
  <si>
    <t>№31/09</t>
  </si>
  <si>
    <t>Смена стекл</t>
  </si>
  <si>
    <t>Замена стекла 2подъезда</t>
  </si>
  <si>
    <t xml:space="preserve">Замена стекла </t>
  </si>
  <si>
    <t>Замена стекла в 2,4,5,6 подъездах</t>
  </si>
  <si>
    <t>№ 30/11</t>
  </si>
  <si>
    <t>Замена стекл в 3,4,6 подъездах</t>
  </si>
  <si>
    <t>№29/11</t>
  </si>
  <si>
    <t>Смена стекол 1,2,3,4,5,6,7,8,9,11 подъезды</t>
  </si>
  <si>
    <t xml:space="preserve">Смена стекол </t>
  </si>
  <si>
    <t>№ 26/11</t>
  </si>
  <si>
    <t>Смена стекол 2 подъезд</t>
  </si>
  <si>
    <t>№ 25/11</t>
  </si>
  <si>
    <t>Сантехнические работы  кв. 49,52</t>
  </si>
  <si>
    <t>№ 24/11</t>
  </si>
  <si>
    <t>Монтаж крана "Маевского" кв. 90</t>
  </si>
  <si>
    <t>Замена отсечного крана кв. 66</t>
  </si>
  <si>
    <t>Монтаж заглушек кв. 78</t>
  </si>
  <si>
    <t>№ 23/11</t>
  </si>
  <si>
    <t>Монтаж трубы ПХВ 2 подвал</t>
  </si>
  <si>
    <t>№ 22/11</t>
  </si>
  <si>
    <t>Частичная замена стояка кв. 74</t>
  </si>
  <si>
    <t>№ 21/11</t>
  </si>
  <si>
    <t>№21/11</t>
  </si>
  <si>
    <t>№ 20/11</t>
  </si>
  <si>
    <t>Монтаж стойки козырька  1 подъезд</t>
  </si>
  <si>
    <t>Смена дверных приборов 2 подъезд</t>
  </si>
  <si>
    <t xml:space="preserve">Ноябрь </t>
  </si>
  <si>
    <t>Обшивка дверей, окон кв. 16,77</t>
  </si>
  <si>
    <t>Перенавеска водосточных труб  кв.25</t>
  </si>
  <si>
    <t>№ 24/01</t>
  </si>
  <si>
    <t>№ 25/01</t>
  </si>
  <si>
    <t>Очистка дороги от наледи</t>
  </si>
  <si>
    <t>№ 28/01-1</t>
  </si>
  <si>
    <t>Отчистка дворовой территории от снега</t>
  </si>
  <si>
    <t>№ 28/01-2</t>
  </si>
  <si>
    <t>№ 28/01-3</t>
  </si>
  <si>
    <t>№ 28/01-4</t>
  </si>
  <si>
    <t>№2/01</t>
  </si>
  <si>
    <t>Перезапуск стояков 2 шт.</t>
  </si>
  <si>
    <t>№14/02</t>
  </si>
  <si>
    <t>февраль</t>
  </si>
  <si>
    <t>Установка почтовых ящиков - 2,3,4,6 п-д</t>
  </si>
  <si>
    <t>№20/02</t>
  </si>
  <si>
    <t>№20/02-7</t>
  </si>
  <si>
    <t>№02/90</t>
  </si>
  <si>
    <t>Замена стояков кв. 48, 51, 54</t>
  </si>
  <si>
    <t>№03/47</t>
  </si>
  <si>
    <t>март</t>
  </si>
  <si>
    <t>Устройство дощатых настилов, заделка перекрытий кв. 48, 51, 54</t>
  </si>
  <si>
    <t>Навеска замков - 6 подвал</t>
  </si>
  <si>
    <t>№03/45</t>
  </si>
  <si>
    <t>№03/27</t>
  </si>
  <si>
    <t>электромонтажные работы</t>
  </si>
  <si>
    <t>№03/24</t>
  </si>
  <si>
    <t>Замена стояков, арматуры кв. 82, 4 п.</t>
  </si>
  <si>
    <t>№03/16</t>
  </si>
  <si>
    <t>Замена канализационного стояка кв. 14</t>
  </si>
  <si>
    <t>№02/13</t>
  </si>
  <si>
    <t>Демонтаж монтаж канал.трубы с прочисткой</t>
  </si>
  <si>
    <t>№03/8</t>
  </si>
  <si>
    <t>Замена канализационного розлива</t>
  </si>
  <si>
    <t>№03/7</t>
  </si>
  <si>
    <t>Очистка канал.сети кв. 48</t>
  </si>
  <si>
    <t>№03/6</t>
  </si>
  <si>
    <t>Замена канализационного стояка кв. 16</t>
  </si>
  <si>
    <t>№02/5</t>
  </si>
  <si>
    <t>Монтаж канал. Стояка 2 п.</t>
  </si>
  <si>
    <t>№03/2</t>
  </si>
  <si>
    <t>Замена стояка  ГВС кв. 16, 90-87, 4 п.</t>
  </si>
  <si>
    <t>№04/61</t>
  </si>
  <si>
    <t>Окраска труб</t>
  </si>
  <si>
    <t>№04/42</t>
  </si>
  <si>
    <t>апрель</t>
  </si>
  <si>
    <t xml:space="preserve">Устройство дощатых настилов </t>
  </si>
  <si>
    <t>№04/25</t>
  </si>
  <si>
    <t>Замена сборок вентилей кв. 27, 82</t>
  </si>
  <si>
    <t>№04/16</t>
  </si>
  <si>
    <t>Замена стояков, арматуры кв.8</t>
  </si>
  <si>
    <t>Начислено: содержание и текущий ремонт за период с 15.10.2010г по 30.04.2012г.</t>
  </si>
  <si>
    <t>Оплачено:содержание и текущий ремонт за период с 15.10.2010г по 30.04.2012г.</t>
  </si>
  <si>
    <t>Выполнено работ: содержание и текущий ремонт за период с 15.10.2010г по 30.04.2012г.</t>
  </si>
  <si>
    <t>Начислено:капитальный ремонт за период за период с 15.10.2010г по 30.04.2012г.</t>
  </si>
  <si>
    <t>Оплачено: капитальный ремонт за период с 15.10.2010г по 30.04.2012г.</t>
  </si>
  <si>
    <t>Выполнено работ: капитальный ремонт за период с 15.10.2010г по 30.04.2012г.</t>
  </si>
  <si>
    <t>Задолженность  УК: содержание и текущий ремонт (по начислению) по состоянию на 30.04.2012г.</t>
  </si>
  <si>
    <t>№1</t>
  </si>
  <si>
    <t>ООО Ремстройсервис Капитальный ремонт кровли</t>
  </si>
  <si>
    <t>№19/03</t>
  </si>
  <si>
    <t>Очистка козырьков от снега</t>
  </si>
  <si>
    <t>№5/03</t>
  </si>
  <si>
    <t>Слив и наполнение системы</t>
  </si>
  <si>
    <t>№24/04-9</t>
  </si>
  <si>
    <t>Работа погрузчика</t>
  </si>
  <si>
    <t>№02/04-2</t>
  </si>
  <si>
    <t>Очистка кровли от снега 88 куб.м.</t>
  </si>
  <si>
    <t>№31/04</t>
  </si>
  <si>
    <t>Проверка элев.узлов с представителями теплосетей</t>
  </si>
  <si>
    <t>№ 17/10</t>
  </si>
  <si>
    <t>№ 16/10</t>
  </si>
  <si>
    <t>Установка вентиля, замена стоякакв кв20. подвал</t>
  </si>
  <si>
    <t>№ 15/10</t>
  </si>
  <si>
    <t>Прочистка разводки, ревизия вентилей кв 55,53,54. элеватор</t>
  </si>
  <si>
    <t>№ 14/10</t>
  </si>
  <si>
    <t>Смена внутренних трубопроводов кв 75,26,2. элеватор</t>
  </si>
  <si>
    <t>№ 13/10</t>
  </si>
  <si>
    <t>Сварочные работы кв26</t>
  </si>
  <si>
    <t>№ 12/10</t>
  </si>
  <si>
    <t>Замена отсечного вентиля кв 79, элеватор</t>
  </si>
  <si>
    <t>№ 10/10</t>
  </si>
  <si>
    <t>Смена отсечного крана кв 24</t>
  </si>
  <si>
    <t>№ 11/10</t>
  </si>
  <si>
    <t>Ревизия, смена вентилей  1,2элеватор. кв51,23</t>
  </si>
  <si>
    <t>№ 08/10</t>
  </si>
  <si>
    <t>Замена сборки кв 21,119. 1,2элеватор.  2,3,6,8подвал</t>
  </si>
  <si>
    <t>№ 07/10</t>
  </si>
  <si>
    <t>Отключение вклюения стояка кв11,16,6</t>
  </si>
  <si>
    <t>№ 06/10</t>
  </si>
  <si>
    <t>Замена стояка ГВС,ХВС кв406,506</t>
  </si>
  <si>
    <t>Ревизия задвижек 2,3элеватор</t>
  </si>
  <si>
    <t>№ 04/10</t>
  </si>
  <si>
    <t>Смена стояка кв42,89,70,42.  1,2элеватор</t>
  </si>
  <si>
    <t>Смена части трубы ХВС кв 88</t>
  </si>
  <si>
    <t>№ 02/10</t>
  </si>
  <si>
    <t>Смена задвижек   кв30</t>
  </si>
  <si>
    <t>Заваривание свища кв82,88</t>
  </si>
  <si>
    <t>№ 30/08</t>
  </si>
  <si>
    <t>Отчет ООО УК "Наш дом" по выполненным работам за январь-апрель 2012 года по адресу пр. Строителей, 19 г</t>
  </si>
  <si>
    <t>Задолженность перед УК: содержание и текущий ремонт (по начислению) по состоянию на 30.04.2012г.</t>
  </si>
  <si>
    <t>Задолженность перед УК: капитальный ремонт (по начислению) по состоянию на 30.04.2012г.</t>
  </si>
  <si>
    <t>Задолженность перед УК по выполненным работам по содержанию и ремонту (по факту оплаты) по состоянию на 30.04.2012г.</t>
  </si>
  <si>
    <t>№ 12/01</t>
  </si>
  <si>
    <t>Отогрев стояка ГВС</t>
  </si>
  <si>
    <t>№ 18/01</t>
  </si>
  <si>
    <t>№ 20/01</t>
  </si>
  <si>
    <t>№ 21/01</t>
  </si>
  <si>
    <t>№ 38/01</t>
  </si>
  <si>
    <t xml:space="preserve">Отогрев стояка ГВС </t>
  </si>
  <si>
    <t>№ 39/01</t>
  </si>
  <si>
    <t>№ 40/01</t>
  </si>
  <si>
    <t>Ремонт сотояка ГВС</t>
  </si>
  <si>
    <t>№ 41/01</t>
  </si>
  <si>
    <t>Ремонт стояка ГВС</t>
  </si>
  <si>
    <t>№ 42/01</t>
  </si>
  <si>
    <t>Реионт стояка ГВС</t>
  </si>
  <si>
    <t>№ 43/01</t>
  </si>
  <si>
    <t>№ 1/01</t>
  </si>
  <si>
    <t>Установка шайб</t>
  </si>
  <si>
    <t>Регулеровка эллеватора</t>
  </si>
  <si>
    <t>№ 2/01</t>
  </si>
  <si>
    <t>№ 3/01</t>
  </si>
  <si>
    <t>№ 4/01</t>
  </si>
  <si>
    <t>Регулеровка элеватора</t>
  </si>
  <si>
    <t>№ 5/01</t>
  </si>
  <si>
    <t>№ 6/01</t>
  </si>
  <si>
    <t>№ 7/01</t>
  </si>
  <si>
    <t>№ 8/01</t>
  </si>
  <si>
    <t>Регулеровка элеыватора</t>
  </si>
  <si>
    <t>№ 9/01</t>
  </si>
  <si>
    <t>№ 10/01</t>
  </si>
  <si>
    <t>№ 11/01</t>
  </si>
  <si>
    <t>№ 13/01</t>
  </si>
  <si>
    <t>Регулеровка элеватора 1,2,3эл</t>
  </si>
  <si>
    <t>№ 15/01</t>
  </si>
  <si>
    <t>№ 44/01</t>
  </si>
  <si>
    <t>№ 45/01</t>
  </si>
  <si>
    <t>№ 46/01</t>
  </si>
  <si>
    <t>Ренгулеровка элеватора</t>
  </si>
  <si>
    <t>Подсыпка песком домов и тротуаров</t>
  </si>
  <si>
    <t>№ 27/01-1</t>
  </si>
  <si>
    <t>Посыпка песком дорог и тротуаров</t>
  </si>
  <si>
    <t>№ 27/01-2</t>
  </si>
  <si>
    <t>Подсыпка домов и тротуаров</t>
  </si>
  <si>
    <t>№ 27/01-3</t>
  </si>
  <si>
    <t>№ 33/01</t>
  </si>
  <si>
    <t>Подсыпка песком и тротуаров</t>
  </si>
  <si>
    <t>№ 13-12</t>
  </si>
  <si>
    <t>Установка металл. двери</t>
  </si>
  <si>
    <t>Перезапуск стояков отопления</t>
  </si>
  <si>
    <t>Перезапуск стояков отопления 2шт</t>
  </si>
  <si>
    <t>№ 14/01</t>
  </si>
  <si>
    <t>№ 16/01</t>
  </si>
  <si>
    <t>Перезапуск стояков отпления</t>
  </si>
  <si>
    <t>№ 17/01</t>
  </si>
  <si>
    <t>№ 19/01</t>
  </si>
  <si>
    <t>№ 29/01</t>
  </si>
  <si>
    <t>№ 30/01</t>
  </si>
  <si>
    <t>№ 31/01</t>
  </si>
  <si>
    <t>№ 32/01</t>
  </si>
  <si>
    <t>Перезапуск стояков отопеления</t>
  </si>
  <si>
    <t>№ 03/36</t>
  </si>
  <si>
    <t>Демонтаж трубопровода 1подвал</t>
  </si>
  <si>
    <t>№ 03/35</t>
  </si>
  <si>
    <t xml:space="preserve">Замена электросчетчиков </t>
  </si>
  <si>
    <t>№ 03/34</t>
  </si>
  <si>
    <t>Зашивка оконных проемов 1,2 подъезд</t>
  </si>
  <si>
    <t>Изготовление, установка щитов 1п</t>
  </si>
  <si>
    <t>Очистка канализационного лежака</t>
  </si>
  <si>
    <t>Задолженность перед  УК: содержание и текущий ремонт (по начислению) по состоянию на 31.12.2012г.</t>
  </si>
  <si>
    <t>Начислено: содержание и текущий ремонт за период с 2010г по 31.12.2012г.</t>
  </si>
  <si>
    <t>Оплачено:содержание и текущий ремонт за период с 2010г по 31.12.2012г.</t>
  </si>
  <si>
    <t>Выполнено работ: содержание и текущий ремонт за период с 2010г по 31.12.2012г.</t>
  </si>
  <si>
    <t>Начислено:капитальный ремонт за период за период с 2010г. по 31.12.2012г.</t>
  </si>
  <si>
    <t>Оплачено: капитальный ремонт за период с 2010 по 31.12.2012г.</t>
  </si>
  <si>
    <t>Выполнено работ: капитальный ремонт за период с 2010 по 31.12.2012г.</t>
  </si>
  <si>
    <t>Выполнено работ: содержание и текущий ремонт за период с2010г по 31.12.2012г.</t>
  </si>
  <si>
    <t>Оплачено: капитальный ремонт за период с 2010г по 31.12.2012г.</t>
  </si>
  <si>
    <t>Выполнено работ: капитальный ремонт за период с 2010г. по 31.12.2012г.</t>
  </si>
  <si>
    <t>Выполнено работ: капитальный ремонт за период с2010г по 31.12.2012г.</t>
  </si>
  <si>
    <t>Регулировка элеватора кв59</t>
  </si>
  <si>
    <t>Регулировка элеватора кв14</t>
  </si>
  <si>
    <t>Заделка отверстий гнезд, борозд  кв87.90.  6подвал</t>
  </si>
  <si>
    <t>Очистка канал.выпуска и лежака 13 под-л.</t>
  </si>
  <si>
    <t>Демонтаж чугунного канализационного стояка кв156,83,153,200</t>
  </si>
  <si>
    <t>Приказ     № 41-12</t>
  </si>
  <si>
    <t>Вед. № 21/03</t>
  </si>
  <si>
    <t>Смена концевого вентиля подвал, стояк кв61</t>
  </si>
  <si>
    <t>Вед. № 22/03</t>
  </si>
  <si>
    <t>Вед.№ 22/03</t>
  </si>
  <si>
    <t>Вед.№ 20/03</t>
  </si>
  <si>
    <t>Установка деревянной заглушки 1 подвал</t>
  </si>
  <si>
    <t>№02/11(дек-рь)</t>
  </si>
  <si>
    <t>Заваривание продухов 1 блок</t>
  </si>
  <si>
    <t>Очистка лестниц от сенега</t>
  </si>
  <si>
    <t>Вед. № 230/03</t>
  </si>
  <si>
    <t>Изготовление, установка щитов7,8п</t>
  </si>
  <si>
    <t>Демонтаж трубы кв 39</t>
  </si>
  <si>
    <t>Регулировка эллеватора</t>
  </si>
  <si>
    <t>КР 7/12 Ремонт кровли в 2 слоя</t>
  </si>
  <si>
    <t>Вед.№ 23/03</t>
  </si>
  <si>
    <t>Прочистка канал.лежака.Прочистка выпуска до колодца 1 п-зд.</t>
  </si>
  <si>
    <t>Навеска  дверей. Элеватор</t>
  </si>
  <si>
    <t>Перезапуск стояков отопления кв. 23</t>
  </si>
  <si>
    <t>Замена отсечного вентеля кв.79,71</t>
  </si>
  <si>
    <t>Замена канализационного  стояка кв 85</t>
  </si>
  <si>
    <t>Регулировка элеватора 1эл</t>
  </si>
  <si>
    <t>Отчистка канализационного лежака 5 подъезд</t>
  </si>
  <si>
    <t>Смена вентилей и клапанов кв 61</t>
  </si>
  <si>
    <t>Смена вентилей и клапанов кв 68</t>
  </si>
  <si>
    <t>Замена, сборка вентиляционного стояка ГВС,ХВС кв 18</t>
  </si>
  <si>
    <t>Смена отдельных участков трубы ка 53</t>
  </si>
  <si>
    <t>Перезапуск стояков ГВС и ХВС</t>
  </si>
  <si>
    <t>Установка пароизоляционного слоя, установка элементов каркаса 1, 2п.</t>
  </si>
  <si>
    <t>Очистка канализ стояка от наледи  кв 61</t>
  </si>
  <si>
    <t>Очистка от снега вент/шахты</t>
  </si>
  <si>
    <t>Демрнтаж и установка почт.ящиков 6под</t>
  </si>
  <si>
    <t>№ 2/05-5</t>
  </si>
  <si>
    <t>Демрнтаж и установка почт.ящиков 11под</t>
  </si>
  <si>
    <t>№ 3/05-6</t>
  </si>
  <si>
    <t>Демрнтаж и установка почт.ящиков 1,3,4,6под</t>
  </si>
  <si>
    <t>№ 4/05-7</t>
  </si>
  <si>
    <t>Ремонт и установка почт.ящиков 6под</t>
  </si>
  <si>
    <t>Ремонт и установка почт.ящиков 1под</t>
  </si>
  <si>
    <t>№ 5/05</t>
  </si>
  <si>
    <t>№ 6/05</t>
  </si>
  <si>
    <t>Демонтаж и установка почт.ящиков 1под</t>
  </si>
  <si>
    <t>№ 2/03</t>
  </si>
  <si>
    <t>№ 3/03</t>
  </si>
  <si>
    <t>№ 4/03</t>
  </si>
  <si>
    <t>№ 5/03</t>
  </si>
  <si>
    <t>№ 6/03</t>
  </si>
  <si>
    <t>Установка счетчиков</t>
  </si>
  <si>
    <t>№04/30а</t>
  </si>
  <si>
    <t>Замена отсечных кв 88.</t>
  </si>
  <si>
    <t>№04/30</t>
  </si>
  <si>
    <t>Замена части лежака,сборок(элеватор)</t>
  </si>
  <si>
    <t>№04/29</t>
  </si>
  <si>
    <t>Замена сборок,заглушек,вентилей кв 44,156,218.</t>
  </si>
  <si>
    <t>№04/28</t>
  </si>
  <si>
    <t>Прочистка канализации кв128.</t>
  </si>
  <si>
    <t>Прочистка канализации кв 76.</t>
  </si>
  <si>
    <t>Прочистка канализации  4,5 под-лы.</t>
  </si>
  <si>
    <t>№04/27</t>
  </si>
  <si>
    <t>Замена канал-го стояка кв 82.</t>
  </si>
  <si>
    <t>Замена канал-х стояков кв 13,15.</t>
  </si>
  <si>
    <t>№04/26</t>
  </si>
  <si>
    <t>Замена канал-го стояка кв 31.</t>
  </si>
  <si>
    <t>Замена канал-го стояка.</t>
  </si>
  <si>
    <t>Занена переходной муфты.</t>
  </si>
  <si>
    <t>Замена ремонтной муфты кв 36.</t>
  </si>
  <si>
    <t>Заваривание свищей кв 27.</t>
  </si>
  <si>
    <t>Замена вентиля 1 под-л.</t>
  </si>
  <si>
    <t>Ревизия отсечного вентиля кв 89,установка заглушки кв 20.</t>
  </si>
  <si>
    <t>№04/24</t>
  </si>
  <si>
    <t>Замена стояка  ГВС,замена вентиля.</t>
  </si>
  <si>
    <t>Замена разводки ГВС, ХВС.Заваривание свища кв 29.</t>
  </si>
  <si>
    <t>Установка сбросового вентиля,заглушки.</t>
  </si>
  <si>
    <t>№04/23</t>
  </si>
  <si>
    <t>Замена сборки ХВС,отсечного(подвал)</t>
  </si>
  <si>
    <t>Замена отсечных ХВС,ГВС.</t>
  </si>
  <si>
    <t>№04/22</t>
  </si>
  <si>
    <t>Обвавривание резьбы кв 65.</t>
  </si>
  <si>
    <t>Замена  подводки до отсечного кв 42</t>
  </si>
  <si>
    <t>№04/21</t>
  </si>
  <si>
    <t>Замена вентеля кв 63.</t>
  </si>
  <si>
    <t>Замена отсечных кв 30,43,25,7.</t>
  </si>
  <si>
    <t>Ревизия отсечного кв 77,43.</t>
  </si>
  <si>
    <t>Ремонт отсечного кв.48</t>
  </si>
  <si>
    <t>Ревизия вентилей кв 6.</t>
  </si>
  <si>
    <t>№04/20</t>
  </si>
  <si>
    <t>Замена стояков п/с,сборок кв 78.</t>
  </si>
  <si>
    <t>№04/19</t>
  </si>
  <si>
    <t>Замена стояков ХВС,ГВС кв17,20.</t>
  </si>
  <si>
    <t>Замена стояков ГВС,ХВС и П/С кв 29,45.</t>
  </si>
  <si>
    <t>№04/18</t>
  </si>
  <si>
    <t>Заваривание свища.</t>
  </si>
  <si>
    <t>№04/17</t>
  </si>
  <si>
    <t>Откл.вкл. Стояков."Аптека"</t>
  </si>
  <si>
    <t>Замена стояков ХВС,ГВС и П/С.кв 11,14.</t>
  </si>
  <si>
    <t>№04/15</t>
  </si>
  <si>
    <t>Замена стояков отопления,п/с.кв 84,87.</t>
  </si>
  <si>
    <t>№04/13</t>
  </si>
  <si>
    <t>Прочистка канал.лежака.</t>
  </si>
  <si>
    <t>Прочистка канал.стояка.</t>
  </si>
  <si>
    <t>Прочистка  канал.лежака.</t>
  </si>
  <si>
    <t>№04/12</t>
  </si>
  <si>
    <t>Чистка канал-го выпуска 2 под-л.</t>
  </si>
  <si>
    <t>Чистка канал-го лежака 3,4,5 под-лы.</t>
  </si>
  <si>
    <t>Чистка канал-го выпуска,6,7,8,9 под-лы.</t>
  </si>
  <si>
    <t>№04/11</t>
  </si>
  <si>
    <t>Прочистка канал-го лежака 6 под-л.</t>
  </si>
  <si>
    <t>№04/10</t>
  </si>
  <si>
    <t>Замена канал-го лежака 3 под-л.</t>
  </si>
  <si>
    <t>д/в№7/16</t>
  </si>
  <si>
    <t>Откючение включение стояка, замена отсечного внтиля кв 37</t>
  </si>
  <si>
    <t>д/в№7/15</t>
  </si>
  <si>
    <t>Смена вентиля</t>
  </si>
  <si>
    <t>Замена канал-го лежака 4под-л.</t>
  </si>
  <si>
    <t>№04/9</t>
  </si>
  <si>
    <t>Ревизия задвижек  1,2 элеватор.</t>
  </si>
  <si>
    <t>Ревизия задвижек,элев-ор.</t>
  </si>
  <si>
    <t>№04/8</t>
  </si>
  <si>
    <t>Замена стояков ГВС,ХВС  через перек-е кв 33,36,39,42,45</t>
  </si>
  <si>
    <t>№04/7</t>
  </si>
  <si>
    <t>Замена внутрен-й разводки,отсечных,сборок.</t>
  </si>
  <si>
    <t>№04/6</t>
  </si>
  <si>
    <t>Замена  замена п/с. кв87.</t>
  </si>
  <si>
    <t>Замена стояка п/с.кв 52</t>
  </si>
  <si>
    <t>№ 13/03</t>
  </si>
  <si>
    <t>Отчистка кровли от снега</t>
  </si>
  <si>
    <t>№ 14/03</t>
  </si>
  <si>
    <t>№ 16/03</t>
  </si>
  <si>
    <t>Отчистка крповли отснега 1,2 подъезд</t>
  </si>
  <si>
    <t>№ 15/03</t>
  </si>
  <si>
    <t>№ 18/03</t>
  </si>
  <si>
    <t>№ 17/03</t>
  </si>
  <si>
    <t>Удаление сосулек с кровли</t>
  </si>
  <si>
    <t>№ 19/03</t>
  </si>
  <si>
    <t>Отчистка козырьков от снега с 1 по 6 под.</t>
  </si>
  <si>
    <t>№ 09/03</t>
  </si>
  <si>
    <t>Отчистка козырьков от снега с 1 по 6 под</t>
  </si>
  <si>
    <t>Отчистка козырьков от снега 3,4,5,6 подъезд</t>
  </si>
  <si>
    <t>№ 8/03</t>
  </si>
  <si>
    <t>Регулеровка элеватора 1эл</t>
  </si>
  <si>
    <t>№ 9/03</t>
  </si>
  <si>
    <t>Регулеровка элеватора 1эл.</t>
  </si>
  <si>
    <t>Регулеровка элеватора 2эл.</t>
  </si>
  <si>
    <t>№ 10/03</t>
  </si>
  <si>
    <t>Регулеровка элеватора 2 эл</t>
  </si>
  <si>
    <t>№ 11/03</t>
  </si>
  <si>
    <t xml:space="preserve">Регулеровка элеватора </t>
  </si>
  <si>
    <t>№ 24/03-8</t>
  </si>
  <si>
    <t>№ 25/03-9</t>
  </si>
  <si>
    <t>Демонтаж и установка почтовых ящиков 1под</t>
  </si>
  <si>
    <t>Установка почтовых ящиков. 2 под</t>
  </si>
  <si>
    <t>Ведомость № 230/03</t>
  </si>
  <si>
    <t>Работа автомобиля по посыпкепеском</t>
  </si>
  <si>
    <t>Работа дворника по посыпкепеском</t>
  </si>
  <si>
    <t>Песок используемый для посыпки</t>
  </si>
  <si>
    <t>Ведомость № 20/03</t>
  </si>
  <si>
    <t>Ведомость № 21/03</t>
  </si>
  <si>
    <t>Работа автомобиля по посыпке песком</t>
  </si>
  <si>
    <t>Работа дворника по посыпке песком</t>
  </si>
  <si>
    <t>Ведомость № 22/03</t>
  </si>
  <si>
    <t>Ведомость № 23/03</t>
  </si>
  <si>
    <t>Ремонт бытовой техники</t>
  </si>
  <si>
    <t>Приказ № 25-12</t>
  </si>
  <si>
    <t>№04/5</t>
  </si>
  <si>
    <t>Замена стояков кв 81,84.</t>
  </si>
  <si>
    <t>№04/4</t>
  </si>
  <si>
    <t>Замена отсечного кв 39,53.</t>
  </si>
  <si>
    <t>Замена отсечного кв 3,45.Ревизия отсечного кв 55.</t>
  </si>
  <si>
    <t>№04/3</t>
  </si>
  <si>
    <t>Замена стояков кв 193,205.Отглушение внутрен-й разводки ХВС ГВС,кв 171.Заваривание стояков ХВС кв146.</t>
  </si>
  <si>
    <t>№04/2</t>
  </si>
  <si>
    <t>Установка вентилей - подвал 9.</t>
  </si>
  <si>
    <t>Замена отсечного кв 67,сборки кв 17,кольцевого - 4под-л.</t>
  </si>
  <si>
    <t>№04/1</t>
  </si>
  <si>
    <t>Замена  отсечных ХВС,ГВС кв62,69.</t>
  </si>
  <si>
    <t>Замена вентилей кв 6,38.</t>
  </si>
  <si>
    <t>№04/84</t>
  </si>
  <si>
    <t>Крепление дверного полотна кв 16.</t>
  </si>
  <si>
    <t>№04/83</t>
  </si>
  <si>
    <t>Ремонт дверного полотна 1 под-д.</t>
  </si>
  <si>
    <t>№04/82</t>
  </si>
  <si>
    <t>Откачка воды из подвала 5 под-л.</t>
  </si>
  <si>
    <t>№04/81</t>
  </si>
  <si>
    <t>Установка чугунной трубы 6,7 под-ды.</t>
  </si>
  <si>
    <t>№04/80</t>
  </si>
  <si>
    <t>Замена канализационных стояков кв 2,4.Замена переходной,ремонтной муфты 2 под-л.</t>
  </si>
  <si>
    <t>№04/79</t>
  </si>
  <si>
    <t>Очистка канал-го  лежака кв 63,66.</t>
  </si>
  <si>
    <t>Очистка канализационного  лежака,1 под-л.</t>
  </si>
  <si>
    <t>Очистка канал-го  лежака  3под-л.</t>
  </si>
  <si>
    <t>Прочистка канал-го выпуска 2 под-л.</t>
  </si>
  <si>
    <t>Прочистка канал-го выпуска,под-л.</t>
  </si>
  <si>
    <t>№04/78</t>
  </si>
  <si>
    <t>Изготовление и установка металл-х дверей в мусороароводы 1,2 под-ды.</t>
  </si>
  <si>
    <t>№04/77</t>
  </si>
  <si>
    <t>№ 32/10</t>
  </si>
  <si>
    <t>Смена стекол 5п.</t>
  </si>
  <si>
    <t>Смена стекол</t>
  </si>
  <si>
    <t>Смена стекол   кв 131</t>
  </si>
  <si>
    <t>Заделка отверстий 1,6п.</t>
  </si>
  <si>
    <t xml:space="preserve">Снятие дверных полотен </t>
  </si>
  <si>
    <t>№ 31/10</t>
  </si>
  <si>
    <t>Прочистка вентканалов кв 24.</t>
  </si>
  <si>
    <t>№04/66</t>
  </si>
  <si>
    <t>Ремонт кровли кв 82.</t>
  </si>
  <si>
    <t>№04/76</t>
  </si>
  <si>
    <t>Установка деревянного настила  2,4 под-ды.</t>
  </si>
  <si>
    <t>№04/45</t>
  </si>
  <si>
    <t>Замена канал-го стояка кв 47.</t>
  </si>
  <si>
    <t>№04/74</t>
  </si>
  <si>
    <t>Замена канал-х стояков  кв 208,маг-н ""Валюшка".</t>
  </si>
  <si>
    <t>№04/73</t>
  </si>
  <si>
    <t>Замена стояков ХВС,ГВС,п/с 8 под-л.</t>
  </si>
  <si>
    <t>№04/72</t>
  </si>
  <si>
    <t>Замена стояков ГВС кв 2,5.Замена отсечного кв 51.</t>
  </si>
  <si>
    <t>№04/71</t>
  </si>
  <si>
    <t>Замена отсечных кв 8,замена части трубы ХВС кв 4.</t>
  </si>
  <si>
    <t>№04/70</t>
  </si>
  <si>
    <t>Замена части стояка ГВС кв 518,418.</t>
  </si>
  <si>
    <t>№04/69</t>
  </si>
  <si>
    <t>Установка  счетчиков,ППР.</t>
  </si>
  <si>
    <t>Установка счетчиков,ППР.</t>
  </si>
  <si>
    <t>№04/67</t>
  </si>
  <si>
    <t>№04/65</t>
  </si>
  <si>
    <t>Ревизия задвижки (насосная).</t>
  </si>
  <si>
    <t>№04/64</t>
  </si>
  <si>
    <t>Замена радиаторных пробок.</t>
  </si>
  <si>
    <t>Ревизия вентилей,клапанов.</t>
  </si>
  <si>
    <t>№04/63</t>
  </si>
  <si>
    <t>Заделка отверстий в мусоропроводе 1 под-д.</t>
  </si>
  <si>
    <t>Заделка отверстий в перекрытии.</t>
  </si>
  <si>
    <t>Заделка отверстий в перекрытиях кв 26,29.</t>
  </si>
  <si>
    <t>№04/62</t>
  </si>
  <si>
    <t>Масляная окраска труб.</t>
  </si>
  <si>
    <t>№04/60</t>
  </si>
  <si>
    <t>Снятие,обшивка  дверного полотна 4 под-л.</t>
  </si>
  <si>
    <t>Укрепление дверной коробки 6 под-д.</t>
  </si>
  <si>
    <t>Установка дверного полотна б/у 7 под-д.</t>
  </si>
  <si>
    <t>№04/59</t>
  </si>
  <si>
    <t>Замена стояка  ГВС кв 84,87.Отглушение разводки ГВС.</t>
  </si>
  <si>
    <t>№04/58</t>
  </si>
  <si>
    <t>Замена  ливневой канал-ии 5 под-д.</t>
  </si>
  <si>
    <t>№04/57</t>
  </si>
  <si>
    <t>замена отсечного кв 85.</t>
  </si>
  <si>
    <t>№04/56</t>
  </si>
  <si>
    <t>№04/55</t>
  </si>
  <si>
    <t>Замена стояка отопления кв 44.</t>
  </si>
  <si>
    <t>Смена части трубы ХВС кв 134,126.</t>
  </si>
  <si>
    <t>№04/54</t>
  </si>
  <si>
    <t>Замена подъездного отопления 1,2,3,4,5,6,7,8 под-ды.</t>
  </si>
  <si>
    <t>№04/53</t>
  </si>
  <si>
    <t>№ 30/10</t>
  </si>
  <si>
    <t>Заделка отверстий кв 62,64.91,88,79,85,91,</t>
  </si>
  <si>
    <t>№ 29/10</t>
  </si>
  <si>
    <t>Смена стекол 3под</t>
  </si>
  <si>
    <t>№ 28/10</t>
  </si>
  <si>
    <t>Смена стекол 1,2,4под</t>
  </si>
  <si>
    <t>№ 27/10</t>
  </si>
  <si>
    <t>Смена стекол 1,2,3,4под</t>
  </si>
  <si>
    <t>№ 26/10</t>
  </si>
  <si>
    <t>Навеска замка 1,4п-л</t>
  </si>
  <si>
    <t>Навеска замка 2,3п-л</t>
  </si>
  <si>
    <t>Навеска замка 1п-л</t>
  </si>
  <si>
    <t>Навеска замка 4п-л</t>
  </si>
  <si>
    <t>Навеска замка 2п-л</t>
  </si>
  <si>
    <t>Навеска замка 3п-л</t>
  </si>
  <si>
    <t>№ 09/10</t>
  </si>
  <si>
    <t>Заделка свища 2вставка.кв 88,91,85,6</t>
  </si>
  <si>
    <t>№ 24/10</t>
  </si>
  <si>
    <t>Сброс и запуск стояка кв 89</t>
  </si>
  <si>
    <t>№ 23/10</t>
  </si>
  <si>
    <t>Сброс и запуск стояков кв 46</t>
  </si>
  <si>
    <t>№ 22/10</t>
  </si>
  <si>
    <t>Замена сборки 5п. 1,2-элеватор</t>
  </si>
  <si>
    <t>№ 21/10</t>
  </si>
  <si>
    <t>Ревизия задвижек 1,2-элеватор</t>
  </si>
  <si>
    <t>№ 20/10</t>
  </si>
  <si>
    <t>Ревизия вентилей и ремонт задвижек 5подвал, 1,2,3элеватор</t>
  </si>
  <si>
    <t>№ 19/10</t>
  </si>
  <si>
    <t>Ревизия вентилей, замена стояка кв 7,17,13   элеватор</t>
  </si>
  <si>
    <t>Замена канал-го стояка кв 48.</t>
  </si>
  <si>
    <t>Замена стояков ХВС ГВС кв 2,28,120,131,139.</t>
  </si>
  <si>
    <t>№04/52</t>
  </si>
  <si>
    <t>Замена стояков ХВС ГВС кв 131.</t>
  </si>
  <si>
    <t>№04/51</t>
  </si>
  <si>
    <t>Замена  канализации кв 47,</t>
  </si>
  <si>
    <t>Заменапереходной  муфты,установка заглушки 2 под-л.</t>
  </si>
  <si>
    <t>Установка полиэтиленовых труб 4 под-л.</t>
  </si>
  <si>
    <t>№04/49</t>
  </si>
  <si>
    <t>Восстановление распредилительного щита (после пожара)</t>
  </si>
  <si>
    <t>№04/50</t>
  </si>
  <si>
    <t>Очистка канал-го лежака 2 под-л.</t>
  </si>
  <si>
    <t>№04/48</t>
  </si>
  <si>
    <t>Восстан-е обрыва  эл.проводки с долбением бетона  кв 22.</t>
  </si>
  <si>
    <t>№04/47</t>
  </si>
  <si>
    <t>Восстан-е  сгоревшей эл.проводки.</t>
  </si>
  <si>
    <t>№04/46</t>
  </si>
  <si>
    <t>Ревизия и ремонт  электрооборудования ППР.</t>
  </si>
  <si>
    <t>Ремонт электрооб-я 1,2,3 под-ды.</t>
  </si>
  <si>
    <t>№04/44</t>
  </si>
  <si>
    <t>Зашивка дверных проемов и продухов.</t>
  </si>
  <si>
    <t>№04/43</t>
  </si>
  <si>
    <t>Замена петель 1 под-л.</t>
  </si>
  <si>
    <t>Изготовление дерев.настила 1 под-д.</t>
  </si>
  <si>
    <t>№04/41</t>
  </si>
  <si>
    <t>Заделка  отверстий в перекрытиях.</t>
  </si>
  <si>
    <t>№04041</t>
  </si>
  <si>
    <t>Кладка отдельных участков из кирпича кв 61.</t>
  </si>
  <si>
    <t>Заделка  отверстий в перекрытии кв 208,маг-н "Валюшка".</t>
  </si>
  <si>
    <t>Заделка отверстий в перекрытии кв 17.</t>
  </si>
  <si>
    <t>№04/40</t>
  </si>
  <si>
    <t>Замена части стояка через перек-е кв 3,6.</t>
  </si>
  <si>
    <t>Замена стояков ХВС,ГВС и п/с через перекрытие кв 47.</t>
  </si>
  <si>
    <t>№04/39</t>
  </si>
  <si>
    <t>Замена трубы ХВС ГВС и п/с через перекрытия.</t>
  </si>
  <si>
    <t>№04/38</t>
  </si>
  <si>
    <t>Замена под-ки кв 5, Установка  вен-й кв 71,замена  трубы отопл-я кв 74.</t>
  </si>
  <si>
    <t>№04/37</t>
  </si>
  <si>
    <t>Установка унитаза и см.бочка,тройника и переходной муфты кв 47.</t>
  </si>
  <si>
    <t>№04/36</t>
  </si>
  <si>
    <t>Замена стояка ХВС кв 31,48.</t>
  </si>
  <si>
    <t>№04/34</t>
  </si>
  <si>
    <t>Отчет ООО УК "Наш дом" по выполненным работам за январь - май 2012 г. по адресу пр. Октябрьский, 7</t>
  </si>
  <si>
    <t>Начислено: содержание и текущий ремонт за период с 01.11.2010г по 31.05.2012г.</t>
  </si>
  <si>
    <t>Оплачено:содержание и текущий ремонт за период с 01.11.2010г по 31.05.2012г.</t>
  </si>
  <si>
    <t>Выполнено работ: содержание и текущий ремонт за период с 01.11.2010г по 31.05.2012г.</t>
  </si>
  <si>
    <t>Начислено:капитальный ремонт за период за период с 01.11.2010г по 31.05.2012г.</t>
  </si>
  <si>
    <t>Оплачено: капитальный ремонт за период с 01.11.2010г по 31.05.2012г.</t>
  </si>
  <si>
    <t>Выполнено работ: капитальный ремонт за период с 01.11.2010г по 31.05.2012г.</t>
  </si>
  <si>
    <t>Задолженность  УК: содержание и текущий ремонт (по начислению) по состоянию на 31.05.2012г.</t>
  </si>
  <si>
    <t>№ 4/08</t>
  </si>
  <si>
    <t xml:space="preserve">Отчистка от мусора 1,2подвал </t>
  </si>
  <si>
    <t xml:space="preserve">Отчистка от мусора 1,2,3,4,5,6подвал </t>
  </si>
  <si>
    <t>д/в№8/09-1</t>
  </si>
  <si>
    <t>Перезапуск стояка ХВС кв92</t>
  </si>
  <si>
    <t>д/в№8/09-2</t>
  </si>
  <si>
    <t>д/в№8/09-3,4,5</t>
  </si>
  <si>
    <t>Отключения ГВС промывка лежака 3блок</t>
  </si>
  <si>
    <t>Отключение включение стояка кв 46,54</t>
  </si>
  <si>
    <t>д/в№8/09-6</t>
  </si>
  <si>
    <t>Перезапуск стояка ХВС кв 62</t>
  </si>
  <si>
    <t>д/в№8/09-7</t>
  </si>
  <si>
    <t>Отключение стояка ХВС и ГВС   Пул бар</t>
  </si>
  <si>
    <t>д/в№8/09-8</t>
  </si>
  <si>
    <t>Отключение стояка ХВС и ГВС кв 6</t>
  </si>
  <si>
    <t>д/в№8/09-9</t>
  </si>
  <si>
    <t>Перезапуск стояков отопления ГВС, ХВС кв 34</t>
  </si>
  <si>
    <t>д/в№8/08-1,2</t>
  </si>
  <si>
    <t>Перезапуск стояков отопления ГВС, ХВС кв 23</t>
  </si>
  <si>
    <t>д/в№8/08-3,4,5</t>
  </si>
  <si>
    <t>Перезапуск стояков отопления ГВС, ХВС кв 79,71,80.</t>
  </si>
  <si>
    <t>д/в№8/08-6</t>
  </si>
  <si>
    <t>Перезапуск стояков отопления ГВС, ХВС кв 75</t>
  </si>
  <si>
    <t>д/в№8/08-7</t>
  </si>
  <si>
    <t>Перезапуск стояков отопления ГВС, ХВС кв 53</t>
  </si>
  <si>
    <t>д/в№8/08-8,9,10</t>
  </si>
  <si>
    <t>Перезапуск стояков ГВС,ХВС  кв17,9,7</t>
  </si>
  <si>
    <t>д/в№8/07</t>
  </si>
  <si>
    <t>Сварочные работы "ГРАДЪ"</t>
  </si>
  <si>
    <t>д/в№8/05</t>
  </si>
  <si>
    <t>Отключение включение стояка ХВС  кв 51</t>
  </si>
  <si>
    <t>Отключение включение стояка ГВС  кв 109</t>
  </si>
  <si>
    <t>д/в№8/04-1</t>
  </si>
  <si>
    <t>Отключения стояка ГВС. ХВС кв33,42,19,28</t>
  </si>
  <si>
    <t>д/в№8/08-1,2,3</t>
  </si>
  <si>
    <t>д/в№8/02-1,2</t>
  </si>
  <si>
    <t>Отключение, включение стояка по ГВС кв.130</t>
  </si>
  <si>
    <t>Задолженность УК: капитальный ремонт (по начислению) по состоянию на31.05.2012г..</t>
  </si>
  <si>
    <t>Задолженность УК по выполненным работам по содержанию и ремонту (по факту оплаты) по состоянию на 31.05.2012г.</t>
  </si>
  <si>
    <t>№ 05/39</t>
  </si>
  <si>
    <t>Ревизия вентилей и клапонов кв 56</t>
  </si>
  <si>
    <t>Замена вентилей и клапонов.кв 85</t>
  </si>
  <si>
    <t>Смена вентилей и клапонов  кв 43</t>
  </si>
  <si>
    <t>Смена вентилей и клапонов  кв 10</t>
  </si>
  <si>
    <t>№ 05/38</t>
  </si>
  <si>
    <t>Отчистка канализационного стояка</t>
  </si>
  <si>
    <t>№ 05/37</t>
  </si>
  <si>
    <t>Очистка канализационной стояка кв 97</t>
  </si>
  <si>
    <t xml:space="preserve">Очиска канализационнного лежака </t>
  </si>
  <si>
    <t>№ 05/36</t>
  </si>
  <si>
    <t>Кладка отдельных участков кирпичных стен.</t>
  </si>
  <si>
    <t>№ 05/34</t>
  </si>
  <si>
    <t>Смена вентилей и клапонов 1,2,3 подвал</t>
  </si>
  <si>
    <t>№ 05/33</t>
  </si>
  <si>
    <t>Смена вентилей и клапонов 1,2,3 элеватор</t>
  </si>
  <si>
    <t>№ 05/32</t>
  </si>
  <si>
    <t>Смена вентилей и клапонов 1,2 элеватор, 1,4 подвал</t>
  </si>
  <si>
    <t>№ 05/35</t>
  </si>
  <si>
    <t>Ремонт кровли кв 30,45,46</t>
  </si>
  <si>
    <t>№ 05/31</t>
  </si>
  <si>
    <t>Смена вентилей и клапронов 4подвал, кв 4,56</t>
  </si>
  <si>
    <t>№ 05/30</t>
  </si>
  <si>
    <t>Сменаотдельных участковтрубопровода кв95</t>
  </si>
  <si>
    <t>№ 05/29</t>
  </si>
  <si>
    <t>Смена вентилей и клапонов кв 86,подвал</t>
  </si>
  <si>
    <t>№ 05/28</t>
  </si>
  <si>
    <t>Смена отдельных участков трубопроводов. Кв13</t>
  </si>
  <si>
    <t>№ 05/27</t>
  </si>
  <si>
    <t>Смена вентилей иклапонов 1подвал</t>
  </si>
  <si>
    <t>№ 05/26</t>
  </si>
  <si>
    <t>Отчистка канализационного лежака 1,5подвал</t>
  </si>
  <si>
    <t>№ 05/25</t>
  </si>
  <si>
    <t>Отчистка канализационного стояка 1,5подвал</t>
  </si>
  <si>
    <t>№ 05/24</t>
  </si>
  <si>
    <t>Смена вентилей и клапонов кв 4</t>
  </si>
  <si>
    <t>Установка заглушек 6подвал</t>
  </si>
  <si>
    <t>Смена вентилей и клапонов 5подвал</t>
  </si>
  <si>
    <t>№ 05/23</t>
  </si>
  <si>
    <t>Заменазадвижки на водорозборе. элеватор</t>
  </si>
  <si>
    <t>№ 05/22</t>
  </si>
  <si>
    <t>Смена отсечного вениля кв 84</t>
  </si>
  <si>
    <t>Смена сгонов у трубопровода кв 5</t>
  </si>
  <si>
    <t>№ 05/21</t>
  </si>
  <si>
    <t>Замена канализационного лежака 1подвал</t>
  </si>
  <si>
    <t>№ 05/20</t>
  </si>
  <si>
    <t>Установка полипропиленовых частей 1подъезд</t>
  </si>
  <si>
    <t>Демонтаж полипропиленовых частей кв 22</t>
  </si>
  <si>
    <t>№ 05/19</t>
  </si>
  <si>
    <t>Демонтаж чугунных труб 1 подва</t>
  </si>
  <si>
    <t>Демонтаж и монтаж труб . Кв 4</t>
  </si>
  <si>
    <t>№ 05/18</t>
  </si>
  <si>
    <t>Демонтаж чугунного отвода. Кв 190</t>
  </si>
  <si>
    <t>Смена венилей и клапонов. Кв 55</t>
  </si>
  <si>
    <t>№ 05/16</t>
  </si>
  <si>
    <t>Смена вентлей и клапонов кв 64</t>
  </si>
  <si>
    <t>№ 05/15</t>
  </si>
  <si>
    <t>Демонтаж, монтаж фланцевого  соединения 3 элеватор</t>
  </si>
  <si>
    <t>№ 05/14</t>
  </si>
  <si>
    <t>Замена вентильных головок кв 144,136,180,178,2,33,184,91.</t>
  </si>
  <si>
    <t>д/в№9/10-1</t>
  </si>
  <si>
    <t>Опресовка системы отопления (элеватор)</t>
  </si>
  <si>
    <t>№ 04/14</t>
  </si>
  <si>
    <t xml:space="preserve">Отчистка канализационного лежака </t>
  </si>
  <si>
    <t>Отчистка канализационного лежака 4,5,6 под</t>
  </si>
  <si>
    <t>Отчистка канализационного лежака 7под</t>
  </si>
  <si>
    <t>Отчистка канализационного стояка 7под</t>
  </si>
  <si>
    <t>№ 05/13</t>
  </si>
  <si>
    <t>Смена отдельных участков трубопровода 3,4,5,6,7,8 под</t>
  </si>
  <si>
    <t>№ 05/12</t>
  </si>
  <si>
    <t>Отчистка канализационного лежака кв 33</t>
  </si>
  <si>
    <t>Отчистка канализационного стояка кв 74</t>
  </si>
  <si>
    <t>Слив и наполнения водой системы отопления кв 93</t>
  </si>
  <si>
    <t>№ 05/11</t>
  </si>
  <si>
    <t>Очистка канализационного лежака 7подвал</t>
  </si>
  <si>
    <t>Очистка канализационного лежака 5 подъезд</t>
  </si>
  <si>
    <t>Очистка канализационного стояка кв 100</t>
  </si>
  <si>
    <t>№ 05/10</t>
  </si>
  <si>
    <t xml:space="preserve">ППР </t>
  </si>
  <si>
    <t>№ 05/9</t>
  </si>
  <si>
    <t>Ремонт дверей эллектрощитковв подъездах.</t>
  </si>
  <si>
    <t>№ 05/8</t>
  </si>
  <si>
    <t>ППР</t>
  </si>
  <si>
    <t>№ 05/7</t>
  </si>
  <si>
    <t xml:space="preserve">Ремонт провода </t>
  </si>
  <si>
    <t>№ 05/5</t>
  </si>
  <si>
    <t xml:space="preserve">Ремонт цоколя </t>
  </si>
  <si>
    <t>№ 05/3</t>
  </si>
  <si>
    <t>Кладка отдельных участков кирпичных стен 3подъезд</t>
  </si>
  <si>
    <t>Кирпичная кладка двеного проема лифтовой шахты 1подъезд</t>
  </si>
  <si>
    <t>№ 05/4</t>
  </si>
  <si>
    <t>Смена существующих ремонтных кровель 7под кв 70</t>
  </si>
  <si>
    <t>№ 05/2</t>
  </si>
  <si>
    <t>Зашивка дверного проема.  Электрощитовая</t>
  </si>
  <si>
    <t>№ 05/1</t>
  </si>
  <si>
    <t>Установка дверных приборов. 5подъезд</t>
  </si>
  <si>
    <t>Установка дверных приборов 5 подвал</t>
  </si>
  <si>
    <t>Установка дверных приборов</t>
  </si>
  <si>
    <t>№ 05/40</t>
  </si>
  <si>
    <t>Смена отдельных участков трубопровода 6,8 подъезд, 3 элеватор, кв 62,65,68,100</t>
  </si>
  <si>
    <t>№ 05/41</t>
  </si>
  <si>
    <t>Смена вентилей и клапоновт кв 65, 2 элеватор</t>
  </si>
  <si>
    <t>№ 05/42</t>
  </si>
  <si>
    <t>Смена отдельных участков трубопровода кв 53,46; 4,5 подв</t>
  </si>
  <si>
    <t>№ 05/43</t>
  </si>
  <si>
    <t>Демонтаж труы. Подвал</t>
  </si>
  <si>
    <t>№ 05/44</t>
  </si>
  <si>
    <t>Смена участка трубы.  Подвал</t>
  </si>
  <si>
    <t>№ 05/45</t>
  </si>
  <si>
    <t xml:space="preserve">Демонтаж чугунных труб  кв 4 </t>
  </si>
  <si>
    <t>№ 05/47</t>
  </si>
  <si>
    <t xml:space="preserve">Май </t>
  </si>
  <si>
    <t>№ 39/08</t>
  </si>
  <si>
    <t>Смена отдельных участков трубопровода кв.58,91,61</t>
  </si>
  <si>
    <t>№37/08</t>
  </si>
  <si>
    <t>№38/08</t>
  </si>
  <si>
    <t>смена отделных участков трубопровода кв109,56,53,50,47,95,92. 7,1подвал</t>
  </si>
  <si>
    <t>№ 29/08</t>
  </si>
  <si>
    <t>Очистка канализационной сети 6 подвал</t>
  </si>
  <si>
    <t>Очистка канализационной сети 5,6 подвал</t>
  </si>
  <si>
    <t>Очистка канализационной сети кв78</t>
  </si>
  <si>
    <t>№ 28/08</t>
  </si>
  <si>
    <t>Разборка и сборка элеваторного узла</t>
  </si>
  <si>
    <t>№28/08</t>
  </si>
  <si>
    <t>№ 19/11</t>
  </si>
  <si>
    <t>кладка отдельных участков из кирпича 2 подъезд</t>
  </si>
  <si>
    <t>Обшивка окон, дверей, смена стекол 1,2 подъезд</t>
  </si>
  <si>
    <t>Устройство цементных покрытий кв. 4-1, ремонт балкона кв. 54</t>
  </si>
  <si>
    <t>№ 18/11</t>
  </si>
  <si>
    <t>Кладка отдельных участков из кирпича кв. 63,65,68,10 подвал</t>
  </si>
  <si>
    <t>№ 17/11</t>
  </si>
  <si>
    <t xml:space="preserve">Запущение счетчика отопления </t>
  </si>
  <si>
    <t>Сантехнические работы  кв. 82</t>
  </si>
  <si>
    <t>№ 15/11</t>
  </si>
  <si>
    <t>Установлены шайбы нв 1,2 элеватор, установка заглушки(подвал)</t>
  </si>
  <si>
    <t>№ 14/11</t>
  </si>
  <si>
    <t>Смена вентилей, 1 элеватор</t>
  </si>
  <si>
    <t>№ 13/11</t>
  </si>
  <si>
    <t>Замена стояка ХВС кв. 39,45</t>
  </si>
  <si>
    <t>№ 12/11</t>
  </si>
  <si>
    <t>Установка шайбы 1,2 элеваторы</t>
  </si>
  <si>
    <t>№ 11/11</t>
  </si>
  <si>
    <t>Очистка канализационной сети в 1 подвале</t>
  </si>
  <si>
    <t>№ 10/11</t>
  </si>
  <si>
    <t>Замена отсечного вентиля кв. 7</t>
  </si>
  <si>
    <t>№ 09/11</t>
  </si>
  <si>
    <t>Ремонт задвижек, смена сгонов, смена вентилей(элеватор). Смена внутренних трубопроводов 1 подвал</t>
  </si>
  <si>
    <t>№ 08/11</t>
  </si>
  <si>
    <t>Смена стояка п/сушки кв. 107,111. Смена вентиля(2 блок). Замена части трубы 6 подвал.</t>
  </si>
  <si>
    <t>Замена канал-го стояка.кв. 28, 34</t>
  </si>
  <si>
    <t>№ 06/11</t>
  </si>
  <si>
    <t>Смена стояка ГВС кв. 48</t>
  </si>
  <si>
    <t>Замена проходной пробки со снятием батареи кв. 17</t>
  </si>
  <si>
    <t>№ 04/11</t>
  </si>
  <si>
    <t>Замена стояка кв. 1, подвал. Замена отсекающей кв. 46</t>
  </si>
  <si>
    <t>Разборка и сборка элеваторного узла с заменой сопла</t>
  </si>
  <si>
    <t>Перетяжка провода. Рехтовка и крепление эл. щита кв. 25,26,27,28</t>
  </si>
  <si>
    <t>Перезапуск стояков отопления ,проверка элеваторных узлов</t>
  </si>
  <si>
    <t>Перезапуск стояков отопления  ,проверка элеваторных узлов</t>
  </si>
  <si>
    <t xml:space="preserve">Перезапуск стояков отопления ,проверка элеваторных узлов </t>
  </si>
  <si>
    <t xml:space="preserve">Проверка элеваторных узлов </t>
  </si>
  <si>
    <t>д/в№18/05-7</t>
  </si>
  <si>
    <t xml:space="preserve">Перезапуск стояков отопления  </t>
  </si>
  <si>
    <t>Проверка элеваторных узлов</t>
  </si>
  <si>
    <t>д/в№18/05-5</t>
  </si>
  <si>
    <t>д/в№18/05-3</t>
  </si>
  <si>
    <t>Проверка элеваторных узлов с представителями теплосетей</t>
  </si>
  <si>
    <t>д/в№18/05-1</t>
  </si>
  <si>
    <t>д/в№18/05-11</t>
  </si>
  <si>
    <t>Проверка элеватоных узлов с преставителями теплосетей</t>
  </si>
  <si>
    <t>д/в№18/05-9</t>
  </si>
  <si>
    <t>Проверка элеваторных сетей с представителями теплосетей</t>
  </si>
  <si>
    <t xml:space="preserve">Перезапуск стояков отопления,проверка элеваторных </t>
  </si>
  <si>
    <t xml:space="preserve">Перезапуск стояков отопления,проверка элеваторных узлов </t>
  </si>
  <si>
    <t>д/в№17/05-1</t>
  </si>
  <si>
    <t>д/в№17/05-3</t>
  </si>
  <si>
    <t>д/в№17/05-5</t>
  </si>
  <si>
    <t>д/в№17/05-7</t>
  </si>
  <si>
    <t>д/в№17/05-9</t>
  </si>
  <si>
    <t>д/в№17/05-11</t>
  </si>
  <si>
    <t>д/в№18/05-13</t>
  </si>
  <si>
    <t>д/в№19/05-1</t>
  </si>
  <si>
    <t>д/в№18/05-19</t>
  </si>
  <si>
    <t>д/в№18/05-17</t>
  </si>
  <si>
    <t>д/в№18/05-15</t>
  </si>
  <si>
    <t>№д/в№19/05-2</t>
  </si>
  <si>
    <t>д/в№19/05-14</t>
  </si>
  <si>
    <t>д/в№19/05-13</t>
  </si>
  <si>
    <t>№д/в№19/05-9</t>
  </si>
  <si>
    <t>д/в№19/05-5</t>
  </si>
  <si>
    <t>д/в№19/05-3</t>
  </si>
  <si>
    <t>д/в№19/05-4</t>
  </si>
  <si>
    <t>д/в№19/05-7</t>
  </si>
  <si>
    <t>д/в№19/05-8</t>
  </si>
  <si>
    <t>д/в№19/05-10</t>
  </si>
  <si>
    <t>д/в№19/05-11</t>
  </si>
  <si>
    <t>Перезапуск стояков отопления, проверка элеваторных узлов.</t>
  </si>
  <si>
    <t>Остекление в под-де,установка рамы с окраской.</t>
  </si>
  <si>
    <t>№02/67</t>
  </si>
  <si>
    <t>Остекление в подъезде 2 подьезд.</t>
  </si>
  <si>
    <t>№02/69</t>
  </si>
  <si>
    <t>Окраска лежаков 1 подвал.</t>
  </si>
  <si>
    <t>№02/70</t>
  </si>
  <si>
    <t>Ремонт тамбура  1 подъезд.</t>
  </si>
  <si>
    <t>№02/71</t>
  </si>
  <si>
    <t>№4/09</t>
  </si>
  <si>
    <t>ООО УК "Наш дом" смена светильников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</si>
</sst>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_ ;[Red]\-0.00\ "/>
  </numFmts>
  <fonts count="42">
    <font>
      <sz val="10"/>
      <name val="Arial"/>
      <family val="0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6" borderId="0" applyNumberFormat="0" applyBorder="0" applyAlignment="0" applyProtection="0"/>
    <xf numFmtId="0" fontId="8" fillId="7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8" fillId="13" borderId="0" applyNumberFormat="0" applyBorder="0" applyAlignment="0" applyProtection="0"/>
    <xf numFmtId="0" fontId="25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11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13" borderId="0" applyNumberFormat="0" applyBorder="0" applyAlignment="0" applyProtection="0"/>
    <xf numFmtId="0" fontId="26" fillId="14" borderId="0" applyNumberFormat="0" applyBorder="0" applyAlignment="0" applyProtection="0"/>
    <xf numFmtId="0" fontId="9" fillId="14" borderId="0" applyNumberFormat="0" applyBorder="0" applyAlignment="0" applyProtection="0"/>
    <xf numFmtId="0" fontId="26" fillId="22" borderId="0" applyNumberFormat="0" applyBorder="0" applyAlignment="0" applyProtection="0"/>
    <xf numFmtId="0" fontId="9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22" borderId="0" applyNumberFormat="0" applyBorder="0" applyAlignment="0" applyProtection="0"/>
    <xf numFmtId="0" fontId="26" fillId="33" borderId="0" applyNumberFormat="0" applyBorder="0" applyAlignment="0" applyProtection="0"/>
    <xf numFmtId="0" fontId="9" fillId="24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1" applyNumberFormat="0" applyAlignment="0" applyProtection="0"/>
    <xf numFmtId="0" fontId="10" fillId="9" borderId="2" applyNumberFormat="0" applyAlignment="0" applyProtection="0"/>
    <xf numFmtId="0" fontId="28" fillId="37" borderId="3" applyNumberFormat="0" applyAlignment="0" applyProtection="0"/>
    <xf numFmtId="0" fontId="11" fillId="38" borderId="4" applyNumberFormat="0" applyAlignment="0" applyProtection="0"/>
    <xf numFmtId="0" fontId="29" fillId="37" borderId="1" applyNumberFormat="0" applyAlignment="0" applyProtection="0"/>
    <xf numFmtId="0" fontId="12" fillId="3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14" fillId="0" borderId="8" applyNumberFormat="0" applyFill="0" applyAlignment="0" applyProtection="0"/>
    <xf numFmtId="0" fontId="32" fillId="0" borderId="9" applyNumberFormat="0" applyFill="0" applyAlignment="0" applyProtection="0"/>
    <xf numFmtId="0" fontId="15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39" borderId="13" applyNumberFormat="0" applyAlignment="0" applyProtection="0"/>
    <xf numFmtId="0" fontId="17" fillId="40" borderId="14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19" fillId="4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43" borderId="0" applyNumberFormat="0" applyBorder="0" applyAlignment="0" applyProtection="0"/>
    <xf numFmtId="0" fontId="2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2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6" borderId="0" applyNumberFormat="0" applyBorder="0" applyAlignment="0" applyProtection="0"/>
    <xf numFmtId="0" fontId="2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49" fontId="1" fillId="0" borderId="19" xfId="91" applyNumberFormat="1" applyFont="1" applyFill="1" applyBorder="1" applyAlignment="1">
      <alignment horizontal="center" vertical="center" wrapText="1"/>
      <protection/>
    </xf>
    <xf numFmtId="0" fontId="1" fillId="0" borderId="20" xfId="91" applyFont="1" applyBorder="1" applyAlignment="1">
      <alignment horizontal="center" vertical="center" wrapText="1"/>
      <protection/>
    </xf>
    <xf numFmtId="0" fontId="1" fillId="0" borderId="21" xfId="91" applyFont="1" applyBorder="1" applyAlignment="1">
      <alignment horizontal="center" vertical="center" wrapText="1"/>
      <protection/>
    </xf>
    <xf numFmtId="0" fontId="1" fillId="0" borderId="0" xfId="91" applyFont="1" applyFill="1" applyBorder="1" applyAlignment="1">
      <alignment horizontal="center" vertical="center" wrapText="1"/>
      <protection/>
    </xf>
    <xf numFmtId="0" fontId="0" fillId="47" borderId="2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9" fontId="0" fillId="0" borderId="22" xfId="0" applyNumberFormat="1" applyBorder="1" applyAlignment="1">
      <alignment wrapText="1"/>
    </xf>
    <xf numFmtId="0" fontId="0" fillId="0" borderId="0" xfId="0" applyBorder="1" applyAlignment="1">
      <alignment wrapText="1"/>
    </xf>
    <xf numFmtId="180" fontId="0" fillId="0" borderId="22" xfId="0" applyNumberFormat="1" applyBorder="1" applyAlignment="1">
      <alignment wrapText="1"/>
    </xf>
    <xf numFmtId="0" fontId="0" fillId="38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" fillId="0" borderId="22" xfId="0" applyFont="1" applyBorder="1" applyAlignment="1">
      <alignment horizontal="right" wrapText="1"/>
    </xf>
    <xf numFmtId="40" fontId="1" fillId="0" borderId="25" xfId="91" applyNumberFormat="1" applyFont="1" applyBorder="1" applyAlignment="1">
      <alignment horizontal="center" vertical="center" wrapText="1"/>
      <protection/>
    </xf>
    <xf numFmtId="40" fontId="0" fillId="0" borderId="22" xfId="0" applyNumberFormat="1" applyBorder="1" applyAlignment="1">
      <alignment wrapText="1"/>
    </xf>
    <xf numFmtId="40" fontId="0" fillId="0" borderId="26" xfId="0" applyNumberFormat="1" applyBorder="1" applyAlignment="1">
      <alignment wrapText="1"/>
    </xf>
    <xf numFmtId="40" fontId="3" fillId="0" borderId="22" xfId="0" applyNumberFormat="1" applyFont="1" applyBorder="1" applyAlignment="1">
      <alignment wrapText="1"/>
    </xf>
    <xf numFmtId="40" fontId="3" fillId="0" borderId="22" xfId="0" applyNumberFormat="1" applyFont="1" applyBorder="1" applyAlignment="1">
      <alignment horizontal="right" wrapText="1"/>
    </xf>
    <xf numFmtId="40" fontId="0" fillId="0" borderId="0" xfId="0" applyNumberFormat="1" applyAlignment="1">
      <alignment wrapText="1"/>
    </xf>
    <xf numFmtId="40" fontId="3" fillId="38" borderId="27" xfId="0" applyNumberFormat="1" applyFont="1" applyFill="1" applyBorder="1" applyAlignment="1">
      <alignment wrapText="1"/>
    </xf>
    <xf numFmtId="2" fontId="2" fillId="0" borderId="28" xfId="0" applyNumberFormat="1" applyFont="1" applyFill="1" applyBorder="1" applyAlignment="1">
      <alignment wrapText="1"/>
    </xf>
    <xf numFmtId="40" fontId="3" fillId="47" borderId="29" xfId="0" applyNumberFormat="1" applyFont="1" applyFill="1" applyBorder="1" applyAlignment="1">
      <alignment wrapText="1"/>
    </xf>
    <xf numFmtId="2" fontId="0" fillId="0" borderId="28" xfId="0" applyNumberFormat="1" applyFill="1" applyBorder="1" applyAlignment="1">
      <alignment wrapText="1"/>
    </xf>
    <xf numFmtId="40" fontId="3" fillId="38" borderId="30" xfId="0" applyNumberFormat="1" applyFont="1" applyFill="1" applyBorder="1" applyAlignment="1">
      <alignment wrapText="1"/>
    </xf>
    <xf numFmtId="40" fontId="3" fillId="38" borderId="2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0" fontId="3" fillId="47" borderId="27" xfId="0" applyNumberFormat="1" applyFont="1" applyFill="1" applyBorder="1" applyAlignment="1">
      <alignment wrapText="1"/>
    </xf>
    <xf numFmtId="0" fontId="0" fillId="0" borderId="29" xfId="0" applyBorder="1" applyAlignment="1">
      <alignment wrapText="1"/>
    </xf>
    <xf numFmtId="40" fontId="0" fillId="0" borderId="27" xfId="0" applyNumberFormat="1" applyBorder="1" applyAlignment="1">
      <alignment wrapText="1"/>
    </xf>
    <xf numFmtId="40" fontId="0" fillId="0" borderId="31" xfId="0" applyNumberFormat="1" applyBorder="1" applyAlignment="1">
      <alignment wrapText="1"/>
    </xf>
    <xf numFmtId="40" fontId="3" fillId="47" borderId="32" xfId="0" applyNumberFormat="1" applyFont="1" applyFill="1" applyBorder="1" applyAlignment="1">
      <alignment wrapText="1"/>
    </xf>
    <xf numFmtId="0" fontId="0" fillId="38" borderId="33" xfId="0" applyFill="1" applyBorder="1" applyAlignment="1">
      <alignment wrapText="1"/>
    </xf>
    <xf numFmtId="0" fontId="0" fillId="38" borderId="22" xfId="0" applyFill="1" applyBorder="1" applyAlignment="1">
      <alignment wrapText="1"/>
    </xf>
    <xf numFmtId="40" fontId="0" fillId="38" borderId="34" xfId="0" applyNumberFormat="1" applyFill="1" applyBorder="1" applyAlignment="1">
      <alignment wrapText="1"/>
    </xf>
    <xf numFmtId="40" fontId="0" fillId="0" borderId="27" xfId="0" applyNumberFormat="1" applyFill="1" applyBorder="1" applyAlignment="1">
      <alignment wrapText="1"/>
    </xf>
    <xf numFmtId="0" fontId="3" fillId="47" borderId="22" xfId="0" applyFont="1" applyFill="1" applyBorder="1" applyAlignment="1">
      <alignment wrapText="1"/>
    </xf>
    <xf numFmtId="0" fontId="0" fillId="47" borderId="35" xfId="0" applyFill="1" applyBorder="1" applyAlignment="1">
      <alignment wrapText="1"/>
    </xf>
    <xf numFmtId="0" fontId="3" fillId="47" borderId="35" xfId="0" applyFont="1" applyFill="1" applyBorder="1" applyAlignment="1">
      <alignment horizontal="center" wrapText="1"/>
    </xf>
    <xf numFmtId="40" fontId="3" fillId="47" borderId="35" xfId="0" applyNumberFormat="1" applyFont="1" applyFill="1" applyBorder="1" applyAlignment="1">
      <alignment wrapText="1"/>
    </xf>
    <xf numFmtId="40" fontId="3" fillId="18" borderId="22" xfId="0" applyNumberFormat="1" applyFont="1" applyFill="1" applyBorder="1" applyAlignment="1">
      <alignment wrapText="1"/>
    </xf>
    <xf numFmtId="40" fontId="3" fillId="18" borderId="22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9" fontId="1" fillId="0" borderId="0" xfId="91" applyNumberFormat="1" applyFont="1" applyFill="1" applyBorder="1" applyAlignment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17" fontId="0" fillId="0" borderId="22" xfId="0" applyNumberForma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ill="1" applyAlignment="1">
      <alignment wrapText="1"/>
    </xf>
    <xf numFmtId="16" fontId="0" fillId="0" borderId="22" xfId="0" applyNumberForma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47" borderId="0" xfId="0" applyFill="1" applyAlignment="1">
      <alignment wrapText="1"/>
    </xf>
    <xf numFmtId="0" fontId="3" fillId="47" borderId="0" xfId="0" applyFont="1" applyFill="1" applyAlignment="1">
      <alignment/>
    </xf>
    <xf numFmtId="40" fontId="3" fillId="47" borderId="22" xfId="0" applyNumberFormat="1" applyFont="1" applyFill="1" applyBorder="1" applyAlignment="1">
      <alignment wrapText="1"/>
    </xf>
    <xf numFmtId="16" fontId="0" fillId="0" borderId="22" xfId="0" applyNumberFormat="1" applyFill="1" applyBorder="1" applyAlignment="1">
      <alignment wrapText="1"/>
    </xf>
    <xf numFmtId="0" fontId="0" fillId="0" borderId="36" xfId="0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0" fontId="0" fillId="0" borderId="36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40" fontId="0" fillId="0" borderId="0" xfId="0" applyNumberFormat="1" applyBorder="1" applyAlignment="1">
      <alignment wrapText="1"/>
    </xf>
    <xf numFmtId="16" fontId="0" fillId="0" borderId="22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0" fontId="3" fillId="0" borderId="29" xfId="0" applyNumberFormat="1" applyFont="1" applyFill="1" applyBorder="1" applyAlignment="1">
      <alignment wrapText="1"/>
    </xf>
    <xf numFmtId="13" fontId="0" fillId="0" borderId="23" xfId="0" applyNumberFormat="1" applyBorder="1" applyAlignment="1">
      <alignment wrapText="1"/>
    </xf>
    <xf numFmtId="0" fontId="2" fillId="47" borderId="37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13" fontId="0" fillId="0" borderId="22" xfId="0" applyNumberFormat="1" applyBorder="1" applyAlignment="1">
      <alignment wrapText="1"/>
    </xf>
    <xf numFmtId="40" fontId="0" fillId="0" borderId="27" xfId="0" applyNumberFormat="1" applyFont="1" applyBorder="1" applyAlignment="1">
      <alignment wrapText="1"/>
    </xf>
    <xf numFmtId="40" fontId="0" fillId="0" borderId="22" xfId="0" applyNumberFormat="1" applyFont="1" applyFill="1" applyBorder="1" applyAlignment="1">
      <alignment wrapText="1"/>
    </xf>
    <xf numFmtId="49" fontId="0" fillId="0" borderId="22" xfId="0" applyNumberFormat="1" applyFont="1" applyBorder="1" applyAlignment="1">
      <alignment wrapText="1"/>
    </xf>
    <xf numFmtId="40" fontId="3" fillId="0" borderId="22" xfId="0" applyNumberFormat="1" applyFont="1" applyFill="1" applyBorder="1" applyAlignment="1">
      <alignment wrapText="1"/>
    </xf>
    <xf numFmtId="49" fontId="1" fillId="0" borderId="38" xfId="91" applyNumberFormat="1" applyFont="1" applyFill="1" applyBorder="1" applyAlignment="1">
      <alignment horizontal="center" vertical="center" wrapText="1"/>
      <protection/>
    </xf>
    <xf numFmtId="0" fontId="1" fillId="0" borderId="39" xfId="91" applyFont="1" applyBorder="1" applyAlignment="1">
      <alignment horizontal="center" vertical="center" wrapText="1"/>
      <protection/>
    </xf>
    <xf numFmtId="0" fontId="1" fillId="0" borderId="28" xfId="91" applyFont="1" applyBorder="1" applyAlignment="1">
      <alignment horizontal="center" vertical="center" wrapText="1"/>
      <protection/>
    </xf>
    <xf numFmtId="40" fontId="1" fillId="0" borderId="40" xfId="91" applyNumberFormat="1" applyFont="1" applyBorder="1" applyAlignment="1">
      <alignment horizontal="center" vertical="center" wrapText="1"/>
      <protection/>
    </xf>
    <xf numFmtId="0" fontId="3" fillId="0" borderId="41" xfId="0" applyFont="1" applyBorder="1" applyAlignment="1">
      <alignment wrapText="1"/>
    </xf>
    <xf numFmtId="40" fontId="3" fillId="47" borderId="31" xfId="0" applyNumberFormat="1" applyFont="1" applyFill="1" applyBorder="1" applyAlignment="1">
      <alignment wrapText="1"/>
    </xf>
    <xf numFmtId="17" fontId="0" fillId="0" borderId="22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187" fontId="1" fillId="0" borderId="25" xfId="91" applyNumberFormat="1" applyFont="1" applyBorder="1" applyAlignment="1">
      <alignment horizontal="center" vertical="center" wrapText="1"/>
      <protection/>
    </xf>
    <xf numFmtId="187" fontId="3" fillId="38" borderId="27" xfId="0" applyNumberFormat="1" applyFont="1" applyFill="1" applyBorder="1" applyAlignment="1">
      <alignment wrapText="1"/>
    </xf>
    <xf numFmtId="187" fontId="3" fillId="47" borderId="27" xfId="0" applyNumberFormat="1" applyFont="1" applyFill="1" applyBorder="1" applyAlignment="1">
      <alignment wrapText="1"/>
    </xf>
    <xf numFmtId="187" fontId="0" fillId="0" borderId="27" xfId="0" applyNumberFormat="1" applyBorder="1" applyAlignment="1">
      <alignment wrapText="1"/>
    </xf>
    <xf numFmtId="187" fontId="3" fillId="38" borderId="30" xfId="0" applyNumberFormat="1" applyFont="1" applyFill="1" applyBorder="1" applyAlignment="1">
      <alignment wrapText="1"/>
    </xf>
    <xf numFmtId="187" fontId="0" fillId="0" borderId="31" xfId="0" applyNumberFormat="1" applyBorder="1" applyAlignment="1">
      <alignment wrapText="1"/>
    </xf>
    <xf numFmtId="187" fontId="0" fillId="0" borderId="22" xfId="0" applyNumberFormat="1" applyBorder="1" applyAlignment="1">
      <alignment wrapText="1"/>
    </xf>
    <xf numFmtId="187" fontId="3" fillId="47" borderId="29" xfId="0" applyNumberFormat="1" applyFont="1" applyFill="1" applyBorder="1" applyAlignment="1">
      <alignment wrapText="1"/>
    </xf>
    <xf numFmtId="187" fontId="3" fillId="0" borderId="22" xfId="0" applyNumberFormat="1" applyFont="1" applyFill="1" applyBorder="1" applyAlignment="1">
      <alignment wrapText="1"/>
    </xf>
    <xf numFmtId="187" fontId="3" fillId="18" borderId="22" xfId="0" applyNumberFormat="1" applyFont="1" applyFill="1" applyBorder="1" applyAlignment="1">
      <alignment wrapText="1"/>
    </xf>
    <xf numFmtId="187" fontId="3" fillId="0" borderId="22" xfId="0" applyNumberFormat="1" applyFont="1" applyBorder="1" applyAlignment="1">
      <alignment wrapText="1"/>
    </xf>
    <xf numFmtId="187" fontId="3" fillId="0" borderId="22" xfId="0" applyNumberFormat="1" applyFont="1" applyBorder="1" applyAlignment="1">
      <alignment horizontal="right" wrapText="1"/>
    </xf>
    <xf numFmtId="187" fontId="3" fillId="18" borderId="22" xfId="0" applyNumberFormat="1" applyFont="1" applyFill="1" applyBorder="1" applyAlignment="1">
      <alignment horizontal="right" wrapText="1"/>
    </xf>
    <xf numFmtId="187" fontId="3" fillId="38" borderId="22" xfId="0" applyNumberFormat="1" applyFont="1" applyFill="1" applyBorder="1" applyAlignment="1">
      <alignment wrapText="1"/>
    </xf>
    <xf numFmtId="187" fontId="0" fillId="0" borderId="0" xfId="0" applyNumberFormat="1" applyAlignment="1">
      <alignment wrapText="1"/>
    </xf>
    <xf numFmtId="40" fontId="0" fillId="48" borderId="27" xfId="0" applyNumberFormat="1" applyFill="1" applyBorder="1" applyAlignment="1">
      <alignment wrapText="1"/>
    </xf>
    <xf numFmtId="40" fontId="0" fillId="48" borderId="31" xfId="0" applyNumberFormat="1" applyFill="1" applyBorder="1" applyAlignment="1">
      <alignment wrapText="1"/>
    </xf>
    <xf numFmtId="0" fontId="0" fillId="48" borderId="22" xfId="0" applyFill="1" applyBorder="1" applyAlignment="1">
      <alignment wrapText="1"/>
    </xf>
    <xf numFmtId="182" fontId="3" fillId="0" borderId="22" xfId="0" applyNumberFormat="1" applyFont="1" applyBorder="1" applyAlignment="1">
      <alignment horizontal="right" wrapText="1"/>
    </xf>
    <xf numFmtId="0" fontId="2" fillId="47" borderId="42" xfId="0" applyFont="1" applyFill="1" applyBorder="1" applyAlignment="1">
      <alignment horizontal="left" wrapText="1"/>
    </xf>
    <xf numFmtId="0" fontId="2" fillId="47" borderId="32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8" borderId="29" xfId="0" applyFont="1" applyFill="1" applyBorder="1" applyAlignment="1">
      <alignment horizontal="left" wrapText="1"/>
    </xf>
    <xf numFmtId="0" fontId="3" fillId="38" borderId="27" xfId="0" applyFont="1" applyFill="1" applyBorder="1" applyAlignment="1">
      <alignment horizontal="left" wrapText="1"/>
    </xf>
    <xf numFmtId="0" fontId="3" fillId="38" borderId="41" xfId="0" applyFont="1" applyFill="1" applyBorder="1" applyAlignment="1">
      <alignment horizontal="left" wrapText="1"/>
    </xf>
    <xf numFmtId="0" fontId="3" fillId="47" borderId="42" xfId="0" applyFont="1" applyFill="1" applyBorder="1" applyAlignment="1">
      <alignment horizontal="left" wrapText="1"/>
    </xf>
    <xf numFmtId="0" fontId="3" fillId="47" borderId="32" xfId="0" applyFont="1" applyFill="1" applyBorder="1" applyAlignment="1">
      <alignment horizontal="left" wrapText="1"/>
    </xf>
    <xf numFmtId="0" fontId="3" fillId="47" borderId="37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47" borderId="29" xfId="0" applyFont="1" applyFill="1" applyBorder="1" applyAlignment="1">
      <alignment horizontal="left" wrapText="1"/>
    </xf>
    <xf numFmtId="0" fontId="3" fillId="47" borderId="27" xfId="0" applyFont="1" applyFill="1" applyBorder="1" applyAlignment="1">
      <alignment horizontal="left" wrapText="1"/>
    </xf>
    <xf numFmtId="0" fontId="3" fillId="47" borderId="41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left" wrapText="1"/>
    </xf>
    <xf numFmtId="0" fontId="2" fillId="38" borderId="27" xfId="0" applyFont="1" applyFill="1" applyBorder="1" applyAlignment="1">
      <alignment horizontal="center" wrapText="1"/>
    </xf>
    <xf numFmtId="0" fontId="2" fillId="38" borderId="22" xfId="0" applyFont="1" applyFill="1" applyBorder="1" applyAlignment="1">
      <alignment horizontal="center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3" fillId="47" borderId="22" xfId="0" applyFont="1" applyFill="1" applyBorder="1" applyAlignment="1">
      <alignment horizontal="left" wrapText="1"/>
    </xf>
    <xf numFmtId="0" fontId="2" fillId="47" borderId="42" xfId="0" applyFont="1" applyFill="1" applyBorder="1" applyAlignment="1">
      <alignment horizontal="left" wrapText="1"/>
    </xf>
    <xf numFmtId="0" fontId="2" fillId="47" borderId="32" xfId="0" applyFont="1" applyFill="1" applyBorder="1" applyAlignment="1">
      <alignment horizontal="left" wrapText="1"/>
    </xf>
    <xf numFmtId="0" fontId="2" fillId="47" borderId="37" xfId="0" applyFont="1" applyFill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2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18" borderId="29" xfId="0" applyFont="1" applyFill="1" applyBorder="1" applyAlignment="1">
      <alignment horizontal="left" wrapText="1"/>
    </xf>
    <xf numFmtId="0" fontId="5" fillId="18" borderId="27" xfId="0" applyFont="1" applyFill="1" applyBorder="1" applyAlignment="1">
      <alignment horizontal="left" wrapText="1"/>
    </xf>
    <xf numFmtId="0" fontId="5" fillId="18" borderId="41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38" borderId="29" xfId="0" applyFont="1" applyFill="1" applyBorder="1" applyAlignment="1">
      <alignment horizontal="left" wrapText="1"/>
    </xf>
    <xf numFmtId="0" fontId="5" fillId="38" borderId="27" xfId="0" applyFont="1" applyFill="1" applyBorder="1" applyAlignment="1">
      <alignment horizontal="left" wrapText="1"/>
    </xf>
    <xf numFmtId="0" fontId="5" fillId="38" borderId="41" xfId="0" applyFont="1" applyFill="1" applyBorder="1" applyAlignment="1">
      <alignment horizontal="left" wrapText="1"/>
    </xf>
    <xf numFmtId="0" fontId="2" fillId="47" borderId="47" xfId="0" applyFont="1" applyFill="1" applyBorder="1" applyAlignment="1">
      <alignment horizontal="left" wrapText="1"/>
    </xf>
    <xf numFmtId="0" fontId="2" fillId="47" borderId="48" xfId="0" applyFont="1" applyFill="1" applyBorder="1" applyAlignment="1">
      <alignment horizontal="left" wrapText="1"/>
    </xf>
    <xf numFmtId="0" fontId="2" fillId="47" borderId="29" xfId="0" applyFont="1" applyFill="1" applyBorder="1" applyAlignment="1">
      <alignment horizontal="left" wrapText="1"/>
    </xf>
    <xf numFmtId="0" fontId="2" fillId="47" borderId="41" xfId="0" applyFont="1" applyFill="1" applyBorder="1" applyAlignment="1">
      <alignment horizontal="left" wrapText="1"/>
    </xf>
    <xf numFmtId="0" fontId="2" fillId="47" borderId="22" xfId="0" applyFont="1" applyFill="1" applyBorder="1" applyAlignment="1">
      <alignment horizontal="left" wrapText="1"/>
    </xf>
    <xf numFmtId="0" fontId="0" fillId="0" borderId="49" xfId="0" applyFont="1" applyBorder="1" applyAlignment="1">
      <alignment wrapText="1"/>
    </xf>
    <xf numFmtId="0" fontId="3" fillId="49" borderId="22" xfId="0" applyFont="1" applyFill="1" applyBorder="1" applyAlignment="1">
      <alignment horizontal="left" wrapText="1"/>
    </xf>
    <xf numFmtId="40" fontId="0" fillId="49" borderId="31" xfId="0" applyNumberFormat="1" applyFill="1" applyBorder="1" applyAlignment="1">
      <alignment wrapText="1"/>
    </xf>
    <xf numFmtId="0" fontId="0" fillId="0" borderId="27" xfId="0" applyFont="1" applyBorder="1" applyAlignment="1">
      <alignment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Обычный_Победы 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7" sqref="A1:D97"/>
    </sheetView>
  </sheetViews>
  <sheetFormatPr defaultColWidth="13.421875" defaultRowHeight="12.75" outlineLevelRow="2"/>
  <cols>
    <col min="1" max="1" width="13.140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1" customWidth="1"/>
    <col min="6" max="6" width="11.421875" style="1" customWidth="1"/>
    <col min="7" max="96" width="12.421875" style="1" customWidth="1"/>
    <col min="97" max="16384" width="13.421875" style="1" customWidth="1"/>
  </cols>
  <sheetData>
    <row r="1" spans="1:5" ht="12.75" customHeight="1">
      <c r="A1" s="106" t="s">
        <v>1567</v>
      </c>
      <c r="B1" s="107"/>
      <c r="C1" s="107"/>
      <c r="D1" s="107"/>
      <c r="E1" s="81"/>
    </row>
    <row r="2" spans="1:5" ht="12.75">
      <c r="A2" s="77" t="s">
        <v>1335</v>
      </c>
      <c r="B2" s="78" t="s">
        <v>1336</v>
      </c>
      <c r="C2" s="79" t="s">
        <v>1337</v>
      </c>
      <c r="D2" s="80" t="s">
        <v>1338</v>
      </c>
      <c r="E2" s="5"/>
    </row>
    <row r="3" spans="1:5" ht="12.75" customHeight="1">
      <c r="A3" s="123" t="s">
        <v>1339</v>
      </c>
      <c r="B3" s="123"/>
      <c r="C3" s="123"/>
      <c r="D3" s="21">
        <f>D4</f>
        <v>164689</v>
      </c>
      <c r="E3" s="22"/>
    </row>
    <row r="4" spans="1:5" ht="12.75" outlineLevel="1">
      <c r="A4" s="117" t="s">
        <v>1355</v>
      </c>
      <c r="B4" s="118"/>
      <c r="C4" s="119"/>
      <c r="D4" s="28">
        <f>SUM(D5:D6)</f>
        <v>164689</v>
      </c>
      <c r="E4" s="24"/>
    </row>
    <row r="5" spans="1:5" ht="12.75" outlineLevel="2">
      <c r="A5" s="51" t="s">
        <v>77</v>
      </c>
      <c r="B5" s="52" t="s">
        <v>1959</v>
      </c>
      <c r="C5" s="63" t="s">
        <v>71</v>
      </c>
      <c r="D5" s="30">
        <v>108310</v>
      </c>
      <c r="E5" s="24"/>
    </row>
    <row r="6" spans="1:5" ht="12.75" outlineLevel="2">
      <c r="A6" s="51" t="s">
        <v>85</v>
      </c>
      <c r="B6" s="52" t="s">
        <v>1959</v>
      </c>
      <c r="C6" s="63" t="s">
        <v>86</v>
      </c>
      <c r="D6" s="30">
        <v>56379</v>
      </c>
      <c r="E6" s="24"/>
    </row>
    <row r="7" spans="1:5" ht="13.5" customHeight="1" thickBot="1">
      <c r="A7" s="124" t="s">
        <v>1343</v>
      </c>
      <c r="B7" s="124"/>
      <c r="C7" s="124"/>
      <c r="D7" s="25">
        <f>D8+D44+D46+D59+D66+D71+D72+D73+D74</f>
        <v>768395.3870000001</v>
      </c>
      <c r="E7" s="22"/>
    </row>
    <row r="8" spans="1:5" ht="13.5" outlineLevel="1" thickTop="1">
      <c r="A8" s="111" t="s">
        <v>1354</v>
      </c>
      <c r="B8" s="112"/>
      <c r="C8" s="113"/>
      <c r="D8" s="28">
        <f>SUM(D9:D43)</f>
        <v>89925.11500000002</v>
      </c>
      <c r="E8" s="24"/>
    </row>
    <row r="9" spans="1:5" ht="12.75" outlineLevel="2">
      <c r="A9" s="7" t="s">
        <v>1169</v>
      </c>
      <c r="B9" s="29" t="s">
        <v>849</v>
      </c>
      <c r="C9" s="7" t="s">
        <v>1170</v>
      </c>
      <c r="D9" s="30">
        <v>507</v>
      </c>
      <c r="E9" s="24"/>
    </row>
    <row r="10" spans="1:5" ht="12.75" outlineLevel="2">
      <c r="A10" s="7" t="s">
        <v>1173</v>
      </c>
      <c r="B10" s="29" t="s">
        <v>849</v>
      </c>
      <c r="C10" s="7" t="s">
        <v>1174</v>
      </c>
      <c r="D10" s="30">
        <v>26623</v>
      </c>
      <c r="E10" s="24"/>
    </row>
    <row r="11" spans="1:5" ht="12.75" outlineLevel="2">
      <c r="A11" s="51" t="s">
        <v>684</v>
      </c>
      <c r="B11" s="52" t="s">
        <v>1951</v>
      </c>
      <c r="C11" s="51" t="s">
        <v>685</v>
      </c>
      <c r="D11" s="30">
        <v>1332</v>
      </c>
      <c r="E11" s="24"/>
    </row>
    <row r="12" spans="1:5" ht="12.75" outlineLevel="2">
      <c r="A12" s="7" t="s">
        <v>228</v>
      </c>
      <c r="B12" s="29" t="s">
        <v>1951</v>
      </c>
      <c r="C12" s="7" t="s">
        <v>229</v>
      </c>
      <c r="D12" s="30">
        <v>2123</v>
      </c>
      <c r="E12" s="24"/>
    </row>
    <row r="13" spans="1:5" ht="12.75" outlineLevel="2">
      <c r="A13" s="7" t="s">
        <v>468</v>
      </c>
      <c r="B13" s="29" t="s">
        <v>1951</v>
      </c>
      <c r="C13" s="7" t="s">
        <v>469</v>
      </c>
      <c r="D13" s="30">
        <v>284</v>
      </c>
      <c r="E13" s="24"/>
    </row>
    <row r="14" spans="1:5" ht="12.75" outlineLevel="2">
      <c r="A14" s="7" t="s">
        <v>2381</v>
      </c>
      <c r="B14" s="29" t="s">
        <v>1952</v>
      </c>
      <c r="C14" s="7" t="s">
        <v>2174</v>
      </c>
      <c r="D14" s="30">
        <v>94.7</v>
      </c>
      <c r="E14" s="24"/>
    </row>
    <row r="15" spans="1:5" ht="12.75" outlineLevel="2">
      <c r="A15" s="7" t="s">
        <v>2294</v>
      </c>
      <c r="B15" s="29" t="s">
        <v>1953</v>
      </c>
      <c r="C15" s="7" t="s">
        <v>2295</v>
      </c>
      <c r="D15" s="30">
        <v>1007</v>
      </c>
      <c r="E15" s="24"/>
    </row>
    <row r="16" spans="1:5" ht="12.75" outlineLevel="2">
      <c r="A16" s="7" t="s">
        <v>2315</v>
      </c>
      <c r="B16" s="29" t="s">
        <v>1953</v>
      </c>
      <c r="C16" s="7" t="s">
        <v>2316</v>
      </c>
      <c r="D16" s="30">
        <v>967</v>
      </c>
      <c r="E16" s="24"/>
    </row>
    <row r="17" spans="1:5" ht="12.75" outlineLevel="2">
      <c r="A17" s="7" t="s">
        <v>2323</v>
      </c>
      <c r="B17" s="29" t="s">
        <v>1953</v>
      </c>
      <c r="C17" s="7" t="s">
        <v>2324</v>
      </c>
      <c r="D17" s="30">
        <v>5012</v>
      </c>
      <c r="E17" s="24"/>
    </row>
    <row r="18" spans="1:5" ht="12.75" outlineLevel="2">
      <c r="A18" s="7" t="s">
        <v>2478</v>
      </c>
      <c r="B18" s="29" t="s">
        <v>1953</v>
      </c>
      <c r="C18" s="7" t="s">
        <v>2479</v>
      </c>
      <c r="D18" s="30">
        <v>889</v>
      </c>
      <c r="E18" s="24"/>
    </row>
    <row r="19" spans="1:5" ht="12.75" outlineLevel="2">
      <c r="A19" s="7" t="s">
        <v>2326</v>
      </c>
      <c r="B19" s="29" t="s">
        <v>1953</v>
      </c>
      <c r="C19" s="7" t="s">
        <v>2327</v>
      </c>
      <c r="D19" s="30">
        <v>3133</v>
      </c>
      <c r="E19" s="24"/>
    </row>
    <row r="20" spans="1:5" ht="12.75" outlineLevel="2">
      <c r="A20" s="8" t="s">
        <v>1303</v>
      </c>
      <c r="B20" s="29" t="s">
        <v>1953</v>
      </c>
      <c r="C20" s="7" t="s">
        <v>1328</v>
      </c>
      <c r="D20" s="31">
        <v>189.4</v>
      </c>
      <c r="E20" s="24"/>
    </row>
    <row r="21" spans="1:5" ht="12.75" outlineLevel="2">
      <c r="A21" s="55" t="s">
        <v>2645</v>
      </c>
      <c r="B21" s="52" t="s">
        <v>1954</v>
      </c>
      <c r="C21" s="51" t="s">
        <v>2646</v>
      </c>
      <c r="D21" s="31">
        <v>795</v>
      </c>
      <c r="E21" s="24"/>
    </row>
    <row r="22" spans="1:5" ht="12.75" outlineLevel="2">
      <c r="A22" s="8" t="s">
        <v>562</v>
      </c>
      <c r="B22" s="29" t="s">
        <v>1954</v>
      </c>
      <c r="C22" s="7" t="s">
        <v>120</v>
      </c>
      <c r="D22" s="31">
        <f>232.71+189.4</f>
        <v>422.11</v>
      </c>
      <c r="E22" s="24"/>
    </row>
    <row r="23" spans="1:5" ht="25.5" outlineLevel="2">
      <c r="A23" s="8" t="s">
        <v>179</v>
      </c>
      <c r="B23" s="29" t="s">
        <v>1955</v>
      </c>
      <c r="C23" s="7" t="s">
        <v>180</v>
      </c>
      <c r="D23" s="31">
        <v>2974</v>
      </c>
      <c r="E23" s="24"/>
    </row>
    <row r="24" spans="1:5" ht="12.75" outlineLevel="2">
      <c r="A24" s="8" t="s">
        <v>427</v>
      </c>
      <c r="B24" s="29" t="s">
        <v>1955</v>
      </c>
      <c r="C24" s="7" t="s">
        <v>424</v>
      </c>
      <c r="D24" s="31">
        <v>5292</v>
      </c>
      <c r="E24" s="24"/>
    </row>
    <row r="25" spans="1:5" ht="12.75" outlineLevel="2">
      <c r="A25" s="8" t="s">
        <v>1930</v>
      </c>
      <c r="B25" s="29" t="s">
        <v>1955</v>
      </c>
      <c r="C25" s="7" t="s">
        <v>424</v>
      </c>
      <c r="D25" s="31">
        <v>3045.25</v>
      </c>
      <c r="E25" s="24"/>
    </row>
    <row r="26" spans="1:5" ht="12.75" outlineLevel="2">
      <c r="A26" s="8" t="s">
        <v>1235</v>
      </c>
      <c r="B26" s="29" t="s">
        <v>1957</v>
      </c>
      <c r="C26" s="7" t="s">
        <v>1239</v>
      </c>
      <c r="D26" s="31">
        <v>668</v>
      </c>
      <c r="E26" s="24"/>
    </row>
    <row r="27" spans="1:5" ht="12.75" outlineLevel="2">
      <c r="A27" s="8" t="s">
        <v>2569</v>
      </c>
      <c r="B27" s="29" t="s">
        <v>1957</v>
      </c>
      <c r="C27" s="7" t="s">
        <v>2570</v>
      </c>
      <c r="D27" s="31">
        <v>19.39</v>
      </c>
      <c r="E27" s="24"/>
    </row>
    <row r="28" spans="1:5" ht="12.75" outlineLevel="2">
      <c r="A28" s="55" t="s">
        <v>1825</v>
      </c>
      <c r="B28" s="29" t="s">
        <v>1958</v>
      </c>
      <c r="C28" s="55" t="s">
        <v>1826</v>
      </c>
      <c r="D28" s="31">
        <v>128.72</v>
      </c>
      <c r="E28" s="24"/>
    </row>
    <row r="29" spans="1:5" ht="12.75" outlineLevel="2">
      <c r="A29" s="8" t="s">
        <v>349</v>
      </c>
      <c r="B29" s="29" t="s">
        <v>1958</v>
      </c>
      <c r="C29" s="7" t="s">
        <v>350</v>
      </c>
      <c r="D29" s="31">
        <v>368</v>
      </c>
      <c r="E29" s="24"/>
    </row>
    <row r="30" spans="1:5" ht="12.75" outlineLevel="2">
      <c r="A30" s="8" t="s">
        <v>874</v>
      </c>
      <c r="B30" s="29" t="s">
        <v>1959</v>
      </c>
      <c r="C30" s="7" t="s">
        <v>875</v>
      </c>
      <c r="D30" s="31">
        <v>453</v>
      </c>
      <c r="E30" s="24"/>
    </row>
    <row r="31" spans="1:5" ht="12.75" outlineLevel="2">
      <c r="A31" s="8" t="s">
        <v>871</v>
      </c>
      <c r="B31" s="29" t="s">
        <v>1959</v>
      </c>
      <c r="C31" s="7" t="s">
        <v>2727</v>
      </c>
      <c r="D31" s="31">
        <v>1334.41</v>
      </c>
      <c r="E31" s="24"/>
    </row>
    <row r="32" spans="1:5" ht="12.75" outlineLevel="2">
      <c r="A32" s="8" t="s">
        <v>2514</v>
      </c>
      <c r="B32" s="29" t="s">
        <v>1959</v>
      </c>
      <c r="C32" s="7" t="s">
        <v>2515</v>
      </c>
      <c r="D32" s="31">
        <v>8884</v>
      </c>
      <c r="E32" s="24"/>
    </row>
    <row r="33" spans="1:5" ht="12.75" outlineLevel="2">
      <c r="A33" s="8" t="s">
        <v>2742</v>
      </c>
      <c r="B33" s="29" t="s">
        <v>1960</v>
      </c>
      <c r="C33" s="7" t="s">
        <v>2743</v>
      </c>
      <c r="D33" s="31">
        <v>1935.61</v>
      </c>
      <c r="E33" s="24"/>
    </row>
    <row r="34" spans="1:5" ht="25.5" outlineLevel="2">
      <c r="A34" s="8" t="s">
        <v>832</v>
      </c>
      <c r="B34" s="29" t="s">
        <v>1960</v>
      </c>
      <c r="C34" s="7" t="s">
        <v>833</v>
      </c>
      <c r="D34" s="31">
        <v>12016.5</v>
      </c>
      <c r="E34" s="24"/>
    </row>
    <row r="35" spans="1:5" ht="12.75" outlineLevel="2">
      <c r="A35" s="8" t="s">
        <v>272</v>
      </c>
      <c r="B35" s="29" t="s">
        <v>1960</v>
      </c>
      <c r="C35" s="7" t="s">
        <v>273</v>
      </c>
      <c r="D35" s="31">
        <v>344.61</v>
      </c>
      <c r="E35" s="24"/>
    </row>
    <row r="36" spans="1:5" ht="12.75" outlineLevel="2">
      <c r="A36" s="8" t="s">
        <v>209</v>
      </c>
      <c r="B36" s="29" t="s">
        <v>1960</v>
      </c>
      <c r="C36" s="7" t="s">
        <v>210</v>
      </c>
      <c r="D36" s="31">
        <v>38.78</v>
      </c>
      <c r="E36" s="24"/>
    </row>
    <row r="37" spans="1:7" ht="12.75" outlineLevel="2">
      <c r="A37" s="8" t="s">
        <v>942</v>
      </c>
      <c r="B37" s="29" t="s">
        <v>1960</v>
      </c>
      <c r="C37" s="7" t="s">
        <v>921</v>
      </c>
      <c r="D37" s="31">
        <v>2272.8</v>
      </c>
      <c r="E37" s="24"/>
      <c r="G37" s="1" t="s">
        <v>886</v>
      </c>
    </row>
    <row r="38" spans="1:5" ht="12.75" outlineLevel="2">
      <c r="A38" s="8" t="s">
        <v>1424</v>
      </c>
      <c r="B38" s="29" t="s">
        <v>1961</v>
      </c>
      <c r="C38" s="7" t="s">
        <v>1425</v>
      </c>
      <c r="D38" s="31">
        <v>657</v>
      </c>
      <c r="E38" s="24"/>
    </row>
    <row r="39" spans="1:5" ht="12.75" outlineLevel="2">
      <c r="A39" s="55" t="s">
        <v>1466</v>
      </c>
      <c r="B39" s="52" t="s">
        <v>1961</v>
      </c>
      <c r="C39" s="51" t="s">
        <v>1468</v>
      </c>
      <c r="D39" s="31">
        <v>280.72</v>
      </c>
      <c r="E39" s="24"/>
    </row>
    <row r="40" spans="1:5" ht="25.5" outlineLevel="2">
      <c r="A40" s="8" t="s">
        <v>1501</v>
      </c>
      <c r="B40" s="29" t="s">
        <v>1961</v>
      </c>
      <c r="C40" s="7" t="s">
        <v>1502</v>
      </c>
      <c r="D40" s="31">
        <v>5684.08</v>
      </c>
      <c r="E40" s="24"/>
    </row>
    <row r="41" spans="1:5" ht="12.75" outlineLevel="2">
      <c r="A41" s="8" t="s">
        <v>1536</v>
      </c>
      <c r="B41" s="52" t="s">
        <v>1961</v>
      </c>
      <c r="C41" s="55" t="s">
        <v>1516</v>
      </c>
      <c r="D41" s="31">
        <v>38.78</v>
      </c>
      <c r="E41" s="24"/>
    </row>
    <row r="42" spans="1:5" ht="12.75" outlineLevel="2">
      <c r="A42" s="8" t="s">
        <v>1554</v>
      </c>
      <c r="B42" s="52" t="s">
        <v>1961</v>
      </c>
      <c r="C42" s="55" t="s">
        <v>1555</v>
      </c>
      <c r="D42" s="31">
        <v>91.865</v>
      </c>
      <c r="E42" s="24"/>
    </row>
    <row r="43" spans="1:5" ht="12.75" outlineLevel="2">
      <c r="A43" s="8" t="s">
        <v>1522</v>
      </c>
      <c r="B43" s="52" t="s">
        <v>1961</v>
      </c>
      <c r="C43" s="55" t="s">
        <v>1516</v>
      </c>
      <c r="D43" s="31">
        <v>19.39</v>
      </c>
      <c r="E43" s="24"/>
    </row>
    <row r="44" spans="1:5" ht="12.75" outlineLevel="1">
      <c r="A44" s="117" t="s">
        <v>1342</v>
      </c>
      <c r="B44" s="118"/>
      <c r="C44" s="119"/>
      <c r="D44" s="28">
        <f>SUM(D45:D45)</f>
        <v>1589</v>
      </c>
      <c r="E44" s="24"/>
    </row>
    <row r="45" spans="1:5" ht="12.75" outlineLevel="2">
      <c r="A45" s="7" t="s">
        <v>2530</v>
      </c>
      <c r="B45" s="29" t="s">
        <v>1953</v>
      </c>
      <c r="C45" s="7" t="s">
        <v>2531</v>
      </c>
      <c r="D45" s="30">
        <v>1589</v>
      </c>
      <c r="E45" s="24"/>
    </row>
    <row r="46" spans="1:5" ht="12.75" outlineLevel="1">
      <c r="A46" s="117" t="s">
        <v>1344</v>
      </c>
      <c r="B46" s="118"/>
      <c r="C46" s="119"/>
      <c r="D46" s="28">
        <f>SUM(D47:D58)</f>
        <v>227769.77</v>
      </c>
      <c r="E46" s="24"/>
    </row>
    <row r="47" spans="1:5" ht="12.75" outlineLevel="2">
      <c r="A47" s="7"/>
      <c r="B47" s="29" t="s">
        <v>849</v>
      </c>
      <c r="C47" s="7" t="s">
        <v>1950</v>
      </c>
      <c r="D47" s="30">
        <f>3681.44+3209.46+1935.12+4531.01+1887.92+1179.95+2926.28</f>
        <v>19351.18</v>
      </c>
      <c r="E47" s="24"/>
    </row>
    <row r="48" spans="1:5" ht="12.75" outlineLevel="2">
      <c r="A48" s="7"/>
      <c r="B48" s="29" t="s">
        <v>1951</v>
      </c>
      <c r="C48" s="7" t="s">
        <v>1950</v>
      </c>
      <c r="D48" s="30">
        <f>3497.37+2567.57+94.4+1935.12+4531.01+1887.92+1179.95+2926.28</f>
        <v>18619.620000000003</v>
      </c>
      <c r="E48" s="24"/>
    </row>
    <row r="49" spans="1:5" ht="12.75" outlineLevel="2">
      <c r="A49" s="7"/>
      <c r="B49" s="29" t="s">
        <v>1952</v>
      </c>
      <c r="C49" s="7" t="s">
        <v>1950</v>
      </c>
      <c r="D49" s="30">
        <f>3497.37+2567.57+89.68+1935.12+4531.01+1887.92+1179.95+2926.28+283.19</f>
        <v>18898.09</v>
      </c>
      <c r="E49" s="24"/>
    </row>
    <row r="50" spans="1:5" ht="12.75" outlineLevel="2">
      <c r="A50" s="7"/>
      <c r="B50" s="29" t="s">
        <v>1953</v>
      </c>
      <c r="C50" s="7" t="s">
        <v>1950</v>
      </c>
      <c r="D50" s="30">
        <f>3313.3+2855.48+67.02+6513.32+1793.52+1179.95+2926.28+283.19</f>
        <v>18932.06</v>
      </c>
      <c r="E50" s="24"/>
    </row>
    <row r="51" spans="1:5" ht="12.75" outlineLevel="2">
      <c r="A51" s="7"/>
      <c r="B51" s="29" t="s">
        <v>1954</v>
      </c>
      <c r="C51" s="7" t="s">
        <v>1950</v>
      </c>
      <c r="D51" s="30">
        <f>2613.83+2501.49+67.02+6513.32+1699.13+1132.75+2926.28+269.03</f>
        <v>17722.85</v>
      </c>
      <c r="E51" s="24"/>
    </row>
    <row r="52" spans="1:5" ht="12.75" outlineLevel="2">
      <c r="A52" s="7"/>
      <c r="B52" s="29" t="s">
        <v>1955</v>
      </c>
      <c r="C52" s="7" t="s">
        <v>1950</v>
      </c>
      <c r="D52" s="30">
        <f>1472.58+1250.75+37.76+3209.46+849.56+566.38+1463.14</f>
        <v>8849.630000000001</v>
      </c>
      <c r="E52" s="24"/>
    </row>
    <row r="53" spans="1:5" ht="12.75" outlineLevel="2">
      <c r="A53" s="7"/>
      <c r="B53" s="29" t="s">
        <v>1956</v>
      </c>
      <c r="C53" s="7" t="s">
        <v>1950</v>
      </c>
      <c r="D53" s="30">
        <f>3161.79+2784.68+72.68+7174.1+1887.92+1274.35+3256.66</f>
        <v>19612.18</v>
      </c>
      <c r="E53" s="24"/>
    </row>
    <row r="54" spans="1:5" ht="12.75" outlineLevel="2">
      <c r="A54" s="7"/>
      <c r="B54" s="29" t="s">
        <v>1957</v>
      </c>
      <c r="C54" s="7" t="s">
        <v>1950</v>
      </c>
      <c r="D54" s="30">
        <f>4160+2784.68+94.4+7174.1+1887.92+1274.35+3256.66+707.97</f>
        <v>21340.08</v>
      </c>
      <c r="E54" s="24"/>
    </row>
    <row r="55" spans="1:5" ht="12.75" outlineLevel="2">
      <c r="A55" s="7"/>
      <c r="B55" s="29" t="s">
        <v>1958</v>
      </c>
      <c r="C55" s="7" t="s">
        <v>1950</v>
      </c>
      <c r="D55" s="30">
        <f>4160.23+2784.68+94.4+7174.1+1887.92+1274.35+3256.66</f>
        <v>20632.34</v>
      </c>
      <c r="E55" s="24"/>
    </row>
    <row r="56" spans="1:5" ht="12.75" outlineLevel="2">
      <c r="A56" s="7"/>
      <c r="B56" s="29" t="s">
        <v>1959</v>
      </c>
      <c r="C56" s="7" t="s">
        <v>1950</v>
      </c>
      <c r="D56" s="30">
        <f>4106.23+2784.68+7174.1+1887.92+1274.35+3256.66</f>
        <v>20483.94</v>
      </c>
      <c r="E56" s="24"/>
    </row>
    <row r="57" spans="1:5" ht="12.75" outlineLevel="2">
      <c r="A57" s="7"/>
      <c r="B57" s="29" t="s">
        <v>1960</v>
      </c>
      <c r="C57" s="7" t="s">
        <v>1950</v>
      </c>
      <c r="D57" s="30">
        <f>4106.23+3587.05+94.4+2171.11+5050.19+2123.91+1274.35+3256.66</f>
        <v>21663.899999999998</v>
      </c>
      <c r="E57" s="24"/>
    </row>
    <row r="58" spans="1:5" ht="12.75" outlineLevel="2">
      <c r="A58" s="11"/>
      <c r="B58" s="29" t="s">
        <v>1961</v>
      </c>
      <c r="C58" s="7" t="s">
        <v>1950</v>
      </c>
      <c r="D58" s="30">
        <f>4106.23+3587.05+94.4+2171.11+5050.19+2123.91+1274.35+3256.66</f>
        <v>21663.899999999998</v>
      </c>
      <c r="E58" s="24"/>
    </row>
    <row r="59" spans="1:5" ht="12.75" outlineLevel="1">
      <c r="A59" s="117" t="s">
        <v>1346</v>
      </c>
      <c r="B59" s="118"/>
      <c r="C59" s="119"/>
      <c r="D59" s="28">
        <f>SUM(D60:D65)</f>
        <v>6363.34</v>
      </c>
      <c r="E59" s="24"/>
    </row>
    <row r="60" spans="1:5" ht="12.75" outlineLevel="2">
      <c r="A60" s="7" t="s">
        <v>1711</v>
      </c>
      <c r="B60" s="29" t="s">
        <v>849</v>
      </c>
      <c r="C60" s="7" t="s">
        <v>1712</v>
      </c>
      <c r="D60" s="30">
        <v>213</v>
      </c>
      <c r="E60" s="24"/>
    </row>
    <row r="61" spans="1:5" ht="25.5" outlineLevel="2">
      <c r="A61" s="7" t="s">
        <v>2392</v>
      </c>
      <c r="B61" s="29" t="s">
        <v>1952</v>
      </c>
      <c r="C61" s="7" t="s">
        <v>2393</v>
      </c>
      <c r="D61" s="30">
        <v>600</v>
      </c>
      <c r="E61" s="24"/>
    </row>
    <row r="62" spans="1:5" ht="25.5" outlineLevel="2">
      <c r="A62" s="7" t="s">
        <v>2392</v>
      </c>
      <c r="B62" s="29" t="s">
        <v>1952</v>
      </c>
      <c r="C62" s="7" t="s">
        <v>2394</v>
      </c>
      <c r="D62" s="30">
        <v>58.5</v>
      </c>
      <c r="E62" s="24"/>
    </row>
    <row r="63" spans="1:5" ht="25.5" outlineLevel="2">
      <c r="A63" s="7" t="s">
        <v>2392</v>
      </c>
      <c r="B63" s="29" t="s">
        <v>1952</v>
      </c>
      <c r="C63" s="7" t="s">
        <v>2390</v>
      </c>
      <c r="D63" s="30">
        <v>700</v>
      </c>
      <c r="E63" s="24"/>
    </row>
    <row r="64" spans="1:5" ht="12.75" outlineLevel="2">
      <c r="A64" s="65" t="s">
        <v>710</v>
      </c>
      <c r="B64" s="29" t="s">
        <v>1957</v>
      </c>
      <c r="C64" s="7" t="s">
        <v>709</v>
      </c>
      <c r="D64" s="30">
        <v>4675</v>
      </c>
      <c r="E64" s="24"/>
    </row>
    <row r="65" spans="1:5" ht="12.75" outlineLevel="2">
      <c r="A65" s="7" t="s">
        <v>1800</v>
      </c>
      <c r="B65" s="29" t="s">
        <v>1958</v>
      </c>
      <c r="C65" s="7" t="s">
        <v>1798</v>
      </c>
      <c r="D65" s="30">
        <v>116.84</v>
      </c>
      <c r="E65" s="24"/>
    </row>
    <row r="66" spans="1:5" ht="12.75" outlineLevel="1">
      <c r="A66" s="117" t="s">
        <v>1341</v>
      </c>
      <c r="B66" s="118"/>
      <c r="C66" s="119"/>
      <c r="D66" s="28">
        <f>SUM(D67:D70)</f>
        <v>1258.07</v>
      </c>
      <c r="E66" s="24"/>
    </row>
    <row r="67" spans="1:5" ht="12.75" outlineLevel="2">
      <c r="A67" s="7" t="s">
        <v>1896</v>
      </c>
      <c r="B67" s="29" t="s">
        <v>849</v>
      </c>
      <c r="C67" s="7" t="s">
        <v>1895</v>
      </c>
      <c r="D67" s="30">
        <v>77</v>
      </c>
      <c r="E67" s="24"/>
    </row>
    <row r="68" spans="1:5" ht="12.75" outlineLevel="2">
      <c r="A68" s="7" t="s">
        <v>2803</v>
      </c>
      <c r="B68" s="29" t="s">
        <v>1951</v>
      </c>
      <c r="C68" s="7" t="s">
        <v>2804</v>
      </c>
      <c r="D68" s="30">
        <v>248</v>
      </c>
      <c r="E68" s="24"/>
    </row>
    <row r="69" spans="1:5" ht="12.75" outlineLevel="2">
      <c r="A69" s="7" t="s">
        <v>2495</v>
      </c>
      <c r="B69" s="29" t="s">
        <v>1959</v>
      </c>
      <c r="C69" s="7" t="s">
        <v>2501</v>
      </c>
      <c r="D69" s="30">
        <v>170.93</v>
      </c>
      <c r="E69" s="24"/>
    </row>
    <row r="70" spans="1:5" ht="12.75" outlineLevel="2">
      <c r="A70" s="7" t="s">
        <v>2022</v>
      </c>
      <c r="B70" s="29" t="s">
        <v>1960</v>
      </c>
      <c r="C70" s="7" t="s">
        <v>2023</v>
      </c>
      <c r="D70" s="30">
        <v>762.14</v>
      </c>
      <c r="E70" s="24"/>
    </row>
    <row r="71" spans="1:5" ht="12.75">
      <c r="A71" s="6">
        <v>4719.8</v>
      </c>
      <c r="B71" s="6" t="s">
        <v>1356</v>
      </c>
      <c r="C71" s="37" t="s">
        <v>1345</v>
      </c>
      <c r="D71" s="23">
        <f>(4719.8*6*1.46)+(4719.8*6*1.63)</f>
        <v>87505.092</v>
      </c>
      <c r="E71" s="24"/>
    </row>
    <row r="72" spans="1:5" ht="12.75">
      <c r="A72" s="6">
        <v>4719.8</v>
      </c>
      <c r="B72" s="6" t="s">
        <v>1356</v>
      </c>
      <c r="C72" s="37" t="s">
        <v>1357</v>
      </c>
      <c r="D72" s="23">
        <f>(4719.8*6*0.1)+(4719.8*6*0.11)</f>
        <v>5946.948</v>
      </c>
      <c r="E72" s="24"/>
    </row>
    <row r="73" spans="1:5" ht="12.75">
      <c r="A73" s="6">
        <v>4719.8</v>
      </c>
      <c r="B73" s="6" t="s">
        <v>1356</v>
      </c>
      <c r="C73" s="37" t="s">
        <v>1358</v>
      </c>
      <c r="D73" s="23">
        <f>(4719.8*6*5.02)+(4719.8*6*5.56)</f>
        <v>299612.904</v>
      </c>
      <c r="E73" s="24"/>
    </row>
    <row r="74" spans="1:5" ht="12.75">
      <c r="A74" s="6">
        <v>4719.8</v>
      </c>
      <c r="B74" s="6" t="s">
        <v>1356</v>
      </c>
      <c r="C74" s="37" t="s">
        <v>1359</v>
      </c>
      <c r="D74" s="23">
        <f>(4719.8*6*0.81)+(4719.8*6*0.9)</f>
        <v>48425.148</v>
      </c>
      <c r="E74" s="24"/>
    </row>
    <row r="75" spans="1:5" ht="12.75" customHeight="1">
      <c r="A75" s="125" t="s">
        <v>1350</v>
      </c>
      <c r="B75" s="126"/>
      <c r="C75" s="127"/>
      <c r="D75" s="76">
        <f>(4719.8*6*1.57)+(4719.8*6*1.75)</f>
        <v>94018.41600000001</v>
      </c>
      <c r="E75" s="10"/>
    </row>
    <row r="76" spans="1:5" ht="12.75" customHeight="1">
      <c r="A76" s="125" t="s">
        <v>1362</v>
      </c>
      <c r="B76" s="126"/>
      <c r="C76" s="127"/>
      <c r="D76" s="16">
        <f>10.3*(D78+D79)/100</f>
        <v>161206.77702</v>
      </c>
      <c r="E76" s="10"/>
    </row>
    <row r="77" spans="1:5" ht="12.75" customHeight="1">
      <c r="A77" s="120" t="s">
        <v>1363</v>
      </c>
      <c r="B77" s="121"/>
      <c r="C77" s="122"/>
      <c r="D77" s="41">
        <f>D76+D75+D7+D3</f>
        <v>1188309.5800200002</v>
      </c>
      <c r="E77" s="48">
        <v>1</v>
      </c>
    </row>
    <row r="78" spans="1:5" ht="12.75" customHeight="1">
      <c r="A78" s="114" t="s">
        <v>1364</v>
      </c>
      <c r="B78" s="115"/>
      <c r="C78" s="116"/>
      <c r="D78" s="18">
        <v>1409091.84</v>
      </c>
      <c r="E78" s="48">
        <v>2</v>
      </c>
    </row>
    <row r="79" spans="1:5" ht="12.75" customHeight="1">
      <c r="A79" s="114" t="s">
        <v>1365</v>
      </c>
      <c r="B79" s="115"/>
      <c r="C79" s="116"/>
      <c r="D79" s="18">
        <v>156022.5</v>
      </c>
      <c r="E79" s="48">
        <v>3</v>
      </c>
    </row>
    <row r="80" spans="1:5" ht="12.75" customHeight="1">
      <c r="A80" s="114" t="s">
        <v>2221</v>
      </c>
      <c r="B80" s="115"/>
      <c r="C80" s="116"/>
      <c r="D80" s="19">
        <f>1608190.69+D78+D81+D82+D83</f>
        <v>3184098.7500000005</v>
      </c>
      <c r="E80" s="48">
        <v>4</v>
      </c>
    </row>
    <row r="81" spans="1:5" ht="27.75" customHeight="1">
      <c r="A81" s="114" t="s">
        <v>611</v>
      </c>
      <c r="B81" s="115"/>
      <c r="C81" s="116"/>
      <c r="D81" s="19">
        <v>35140.58</v>
      </c>
      <c r="E81" s="48"/>
    </row>
    <row r="82" spans="1:5" ht="12.75" customHeight="1">
      <c r="A82" s="114" t="s">
        <v>612</v>
      </c>
      <c r="B82" s="115"/>
      <c r="C82" s="116"/>
      <c r="D82" s="19">
        <v>18420.79</v>
      </c>
      <c r="E82" s="48"/>
    </row>
    <row r="83" spans="1:5" ht="30" customHeight="1">
      <c r="A83" s="114" t="s">
        <v>615</v>
      </c>
      <c r="B83" s="115"/>
      <c r="C83" s="116"/>
      <c r="D83" s="19">
        <v>113254.85</v>
      </c>
      <c r="E83" s="48"/>
    </row>
    <row r="84" spans="1:5" ht="15.75" customHeight="1">
      <c r="A84" s="114" t="s">
        <v>2222</v>
      </c>
      <c r="B84" s="115"/>
      <c r="C84" s="116"/>
      <c r="D84" s="103">
        <f>1073634.77+D92+D85+D86+D87</f>
        <v>2249546.77</v>
      </c>
      <c r="E84" s="48">
        <v>5</v>
      </c>
    </row>
    <row r="85" spans="1:5" ht="29.25" customHeight="1">
      <c r="A85" s="114" t="s">
        <v>613</v>
      </c>
      <c r="B85" s="115"/>
      <c r="C85" s="116"/>
      <c r="D85" s="19">
        <v>27243.06</v>
      </c>
      <c r="E85" s="48"/>
    </row>
    <row r="86" spans="1:5" ht="18" customHeight="1">
      <c r="A86" s="114" t="s">
        <v>614</v>
      </c>
      <c r="B86" s="115"/>
      <c r="C86" s="116"/>
      <c r="D86" s="19">
        <v>15451.91</v>
      </c>
      <c r="E86" s="48"/>
    </row>
    <row r="87" spans="1:5" ht="24" customHeight="1">
      <c r="A87" s="114" t="s">
        <v>616</v>
      </c>
      <c r="B87" s="115"/>
      <c r="C87" s="116"/>
      <c r="D87" s="19">
        <v>98606.8</v>
      </c>
      <c r="E87" s="48"/>
    </row>
    <row r="88" spans="1:5" ht="25.5" customHeight="1">
      <c r="A88" s="120" t="s">
        <v>2223</v>
      </c>
      <c r="B88" s="121"/>
      <c r="C88" s="122"/>
      <c r="D88" s="42">
        <f>1023812.64+D77</f>
        <v>2212122.2200200004</v>
      </c>
      <c r="E88" s="48">
        <v>6</v>
      </c>
    </row>
    <row r="89" spans="1:5" ht="12.75" customHeight="1">
      <c r="A89" s="114" t="s">
        <v>2224</v>
      </c>
      <c r="B89" s="115"/>
      <c r="C89" s="116"/>
      <c r="D89" s="19">
        <f>178774.8+D79</f>
        <v>334797.3</v>
      </c>
      <c r="E89" s="48">
        <v>7</v>
      </c>
    </row>
    <row r="90" spans="1:5" ht="12.75" customHeight="1">
      <c r="A90" s="114" t="s">
        <v>2225</v>
      </c>
      <c r="B90" s="115"/>
      <c r="C90" s="116"/>
      <c r="D90" s="19">
        <f>119352.3+D93</f>
        <v>233910.11</v>
      </c>
      <c r="E90" s="48">
        <v>8</v>
      </c>
    </row>
    <row r="91" spans="1:5" ht="12.75" customHeight="1">
      <c r="A91" s="120" t="s">
        <v>2226</v>
      </c>
      <c r="B91" s="121"/>
      <c r="C91" s="122"/>
      <c r="D91" s="42">
        <f>0+D94</f>
        <v>0</v>
      </c>
      <c r="E91" s="48">
        <v>9</v>
      </c>
    </row>
    <row r="92" spans="1:5" ht="12.75" customHeight="1">
      <c r="A92" s="114" t="s">
        <v>779</v>
      </c>
      <c r="B92" s="115"/>
      <c r="C92" s="116"/>
      <c r="D92" s="18">
        <v>1034610.23</v>
      </c>
      <c r="E92" s="48">
        <v>10</v>
      </c>
    </row>
    <row r="93" spans="1:5" ht="12.75" customHeight="1">
      <c r="A93" s="114" t="s">
        <v>780</v>
      </c>
      <c r="B93" s="115"/>
      <c r="C93" s="116"/>
      <c r="D93" s="18">
        <v>114557.81</v>
      </c>
      <c r="E93" s="48">
        <v>11</v>
      </c>
    </row>
    <row r="94" spans="1:5" ht="12.75" customHeight="1">
      <c r="A94" s="120" t="s">
        <v>781</v>
      </c>
      <c r="B94" s="121"/>
      <c r="C94" s="122"/>
      <c r="D94" s="41">
        <v>0</v>
      </c>
      <c r="E94" s="48">
        <v>12</v>
      </c>
    </row>
    <row r="95" spans="1:5" ht="27" customHeight="1">
      <c r="A95" s="108" t="s">
        <v>782</v>
      </c>
      <c r="B95" s="109"/>
      <c r="C95" s="110"/>
      <c r="D95" s="26">
        <f>D80-D88</f>
        <v>971976.5299800001</v>
      </c>
      <c r="E95" s="48">
        <v>13</v>
      </c>
    </row>
    <row r="96" spans="1:5" ht="25.5" customHeight="1">
      <c r="A96" s="108" t="s">
        <v>783</v>
      </c>
      <c r="B96" s="109"/>
      <c r="C96" s="110"/>
      <c r="D96" s="26">
        <f>D89-D91</f>
        <v>334797.3</v>
      </c>
      <c r="E96" s="48">
        <v>14</v>
      </c>
    </row>
    <row r="97" spans="1:5" ht="25.5" customHeight="1">
      <c r="A97" s="108" t="s">
        <v>718</v>
      </c>
      <c r="B97" s="109"/>
      <c r="C97" s="110"/>
      <c r="D97" s="26">
        <f>D84-D88</f>
        <v>37424.54997999966</v>
      </c>
      <c r="E97" s="48">
        <v>15</v>
      </c>
    </row>
  </sheetData>
  <sheetProtection/>
  <mergeCells count="32">
    <mergeCell ref="A85:C85"/>
    <mergeCell ref="A86:C86"/>
    <mergeCell ref="A83:C83"/>
    <mergeCell ref="A87:C87"/>
    <mergeCell ref="A84:C84"/>
    <mergeCell ref="A88:C88"/>
    <mergeCell ref="A3:C3"/>
    <mergeCell ref="A4:C4"/>
    <mergeCell ref="A44:C44"/>
    <mergeCell ref="A7:C7"/>
    <mergeCell ref="A75:C75"/>
    <mergeCell ref="A76:C76"/>
    <mergeCell ref="A77:C77"/>
    <mergeCell ref="A81:C81"/>
    <mergeCell ref="A82:C82"/>
    <mergeCell ref="A96:C96"/>
    <mergeCell ref="A90:C90"/>
    <mergeCell ref="A89:C89"/>
    <mergeCell ref="A91:C91"/>
    <mergeCell ref="A94:C94"/>
    <mergeCell ref="A95:C95"/>
    <mergeCell ref="A93:C93"/>
    <mergeCell ref="A1:D1"/>
    <mergeCell ref="A97:C97"/>
    <mergeCell ref="A8:C8"/>
    <mergeCell ref="A79:C79"/>
    <mergeCell ref="A80:C80"/>
    <mergeCell ref="A59:C59"/>
    <mergeCell ref="A78:C78"/>
    <mergeCell ref="A92:C92"/>
    <mergeCell ref="A46:C46"/>
    <mergeCell ref="A66:C66"/>
  </mergeCells>
  <printOptions/>
  <pageMargins left="0.25" right="0.17" top="0.47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9" sqref="A1:D59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thickBot="1">
      <c r="A1" s="135" t="s">
        <v>1584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D4+D17+D20+D33+D36+D39+D41+D42</f>
        <v>143418.83000000002</v>
      </c>
      <c r="E3" s="45"/>
    </row>
    <row r="4" spans="1:5" ht="13.5" outlineLevel="1" thickTop="1">
      <c r="A4" s="111" t="s">
        <v>1354</v>
      </c>
      <c r="B4" s="112"/>
      <c r="C4" s="113"/>
      <c r="D4" s="28">
        <f>SUM(D5:D16)</f>
        <v>44251.420000000006</v>
      </c>
      <c r="E4" s="46"/>
    </row>
    <row r="5" spans="1:5" ht="12.75" outlineLevel="2">
      <c r="A5" s="7" t="s">
        <v>2185</v>
      </c>
      <c r="B5" s="29" t="s">
        <v>849</v>
      </c>
      <c r="C5" s="7" t="s">
        <v>2174</v>
      </c>
      <c r="D5" s="30">
        <v>126.26</v>
      </c>
      <c r="E5" s="46"/>
    </row>
    <row r="6" spans="1:5" ht="12.75" outlineLevel="2">
      <c r="A6" s="8" t="s">
        <v>570</v>
      </c>
      <c r="B6" s="29" t="s">
        <v>1954</v>
      </c>
      <c r="C6" s="7" t="s">
        <v>559</v>
      </c>
      <c r="D6" s="30">
        <v>82.56</v>
      </c>
      <c r="E6" s="46"/>
    </row>
    <row r="7" spans="1:5" ht="12.75" outlineLevel="2">
      <c r="A7" s="8" t="s">
        <v>2766</v>
      </c>
      <c r="B7" s="29" t="s">
        <v>1954</v>
      </c>
      <c r="C7" s="7" t="s">
        <v>2765</v>
      </c>
      <c r="D7" s="30">
        <v>189</v>
      </c>
      <c r="E7" s="46"/>
    </row>
    <row r="8" spans="1:5" ht="12.75" outlineLevel="2">
      <c r="A8" s="7" t="s">
        <v>1003</v>
      </c>
      <c r="B8" s="29" t="s">
        <v>1955</v>
      </c>
      <c r="C8" s="7" t="s">
        <v>1004</v>
      </c>
      <c r="D8" s="30">
        <v>621</v>
      </c>
      <c r="E8" s="46"/>
    </row>
    <row r="9" spans="1:5" ht="12.75" outlineLevel="2">
      <c r="A9" s="7" t="s">
        <v>1930</v>
      </c>
      <c r="B9" s="29" t="s">
        <v>1955</v>
      </c>
      <c r="C9" s="7" t="s">
        <v>424</v>
      </c>
      <c r="D9" s="30">
        <v>909.06</v>
      </c>
      <c r="E9" s="46"/>
    </row>
    <row r="10" spans="1:5" ht="12.75" outlineLevel="2">
      <c r="A10" s="7" t="s">
        <v>2148</v>
      </c>
      <c r="B10" s="29" t="s">
        <v>1959</v>
      </c>
      <c r="C10" s="7" t="s">
        <v>1186</v>
      </c>
      <c r="D10" s="30">
        <v>312</v>
      </c>
      <c r="E10" s="46"/>
    </row>
    <row r="11" spans="1:5" ht="12.75" outlineLevel="2">
      <c r="A11" s="7" t="s">
        <v>391</v>
      </c>
      <c r="B11" s="29" t="s">
        <v>1959</v>
      </c>
      <c r="C11" s="7" t="s">
        <v>392</v>
      </c>
      <c r="D11" s="30">
        <v>29082.79</v>
      </c>
      <c r="E11" s="46"/>
    </row>
    <row r="12" spans="1:5" ht="12.75" outlineLevel="2">
      <c r="A12" s="8" t="s">
        <v>1152</v>
      </c>
      <c r="B12" s="29" t="s">
        <v>1959</v>
      </c>
      <c r="C12" s="7" t="s">
        <v>2727</v>
      </c>
      <c r="D12" s="30">
        <v>1334.41</v>
      </c>
      <c r="E12" s="46"/>
    </row>
    <row r="13" spans="1:5" ht="12.75" outlineLevel="2">
      <c r="A13" s="8" t="s">
        <v>2148</v>
      </c>
      <c r="B13" s="29" t="s">
        <v>1959</v>
      </c>
      <c r="C13" s="7" t="s">
        <v>1186</v>
      </c>
      <c r="D13" s="30">
        <v>312</v>
      </c>
      <c r="E13" s="46"/>
    </row>
    <row r="14" spans="1:5" ht="12.75" outlineLevel="2">
      <c r="A14" s="7" t="s">
        <v>876</v>
      </c>
      <c r="B14" s="29" t="s">
        <v>1959</v>
      </c>
      <c r="C14" s="7" t="s">
        <v>877</v>
      </c>
      <c r="D14" s="30">
        <v>1334</v>
      </c>
      <c r="E14" s="46"/>
    </row>
    <row r="15" spans="1:5" ht="12.75" customHeight="1" outlineLevel="2">
      <c r="A15" s="7" t="s">
        <v>911</v>
      </c>
      <c r="B15" s="29" t="s">
        <v>1960</v>
      </c>
      <c r="C15" s="7" t="s">
        <v>912</v>
      </c>
      <c r="D15" s="30">
        <v>2272.8</v>
      </c>
      <c r="E15" s="46"/>
    </row>
    <row r="16" spans="1:5" ht="12.75" outlineLevel="2">
      <c r="A16" s="7" t="s">
        <v>769</v>
      </c>
      <c r="B16" s="29" t="s">
        <v>1961</v>
      </c>
      <c r="C16" s="7" t="s">
        <v>770</v>
      </c>
      <c r="D16" s="30">
        <v>7675.54</v>
      </c>
      <c r="E16" s="46"/>
    </row>
    <row r="17" spans="1:5" ht="12.75" outlineLevel="1">
      <c r="A17" s="117" t="s">
        <v>1342</v>
      </c>
      <c r="B17" s="118"/>
      <c r="C17" s="119"/>
      <c r="D17" s="28">
        <f>SUM(D18:D19)</f>
        <v>11535</v>
      </c>
      <c r="E17" s="46"/>
    </row>
    <row r="18" spans="1:5" ht="12.75" outlineLevel="2">
      <c r="A18" s="51" t="s">
        <v>2216</v>
      </c>
      <c r="B18" s="52" t="s">
        <v>1952</v>
      </c>
      <c r="C18" s="51" t="s">
        <v>1657</v>
      </c>
      <c r="D18" s="30">
        <v>3428</v>
      </c>
      <c r="E18" s="46"/>
    </row>
    <row r="19" spans="1:5" ht="12.75" outlineLevel="2">
      <c r="A19" s="51" t="s">
        <v>1666</v>
      </c>
      <c r="B19" s="52" t="s">
        <v>1952</v>
      </c>
      <c r="C19" s="51" t="s">
        <v>1667</v>
      </c>
      <c r="D19" s="30">
        <v>8107</v>
      </c>
      <c r="E19" s="46"/>
    </row>
    <row r="20" spans="1:5" ht="12.75" outlineLevel="1">
      <c r="A20" s="117" t="s">
        <v>1344</v>
      </c>
      <c r="B20" s="118"/>
      <c r="C20" s="119"/>
      <c r="D20" s="28">
        <f>SUM(D21:D32)</f>
        <v>52928.950000000004</v>
      </c>
      <c r="E20" s="46"/>
    </row>
    <row r="21" spans="1:5" ht="12.75" outlineLevel="2">
      <c r="A21" s="7"/>
      <c r="B21" s="29" t="s">
        <v>849</v>
      </c>
      <c r="C21" s="7" t="s">
        <v>1964</v>
      </c>
      <c r="D21" s="30">
        <f>1006.38+878.99+522.3+1235.68+535.04+331.21</f>
        <v>4509.6</v>
      </c>
      <c r="E21" s="46"/>
    </row>
    <row r="22" spans="1:5" ht="12.75" outlineLevel="2">
      <c r="A22" s="7"/>
      <c r="B22" s="29" t="s">
        <v>1951</v>
      </c>
      <c r="C22" s="7" t="s">
        <v>1964</v>
      </c>
      <c r="D22" s="30">
        <f>1006.38+878.99+522.3+1235.68+535.04+331.21</f>
        <v>4509.6</v>
      </c>
      <c r="E22" s="46"/>
    </row>
    <row r="23" spans="1:5" ht="12.75" outlineLevel="2">
      <c r="A23" s="7"/>
      <c r="B23" s="29" t="s">
        <v>1952</v>
      </c>
      <c r="C23" s="7" t="s">
        <v>1964</v>
      </c>
      <c r="D23" s="30">
        <f>1006.38+703.19+522.3+1235.68+535.04+331.21+76.43</f>
        <v>4410.2300000000005</v>
      </c>
      <c r="E23" s="46"/>
    </row>
    <row r="24" spans="1:5" ht="12.75" outlineLevel="2">
      <c r="A24" s="7"/>
      <c r="B24" s="29" t="s">
        <v>1953</v>
      </c>
      <c r="C24" s="7" t="s">
        <v>1964</v>
      </c>
      <c r="D24" s="30">
        <f>1006.38+777.08+1757.98+509.56+331.21+76.43</f>
        <v>4458.64</v>
      </c>
      <c r="E24" s="46"/>
    </row>
    <row r="25" spans="1:5" ht="12.75" outlineLevel="2">
      <c r="A25" s="7"/>
      <c r="B25" s="29" t="s">
        <v>1954</v>
      </c>
      <c r="C25" s="7" t="s">
        <v>1964</v>
      </c>
      <c r="D25" s="30">
        <f>1006.38+675.17+1403.33+358.22+318.48+68.79+203.82</f>
        <v>4034.1900000000005</v>
      </c>
      <c r="E25" s="46"/>
    </row>
    <row r="26" spans="1:5" ht="12.75" outlineLevel="2">
      <c r="A26" s="7"/>
      <c r="B26" s="29" t="s">
        <v>1955</v>
      </c>
      <c r="C26" s="7" t="s">
        <v>1964</v>
      </c>
      <c r="D26" s="30">
        <f>503.19+337.58+878.99+235.67+159.24</f>
        <v>2114.67</v>
      </c>
      <c r="E26" s="46"/>
    </row>
    <row r="27" spans="1:5" ht="12.75" outlineLevel="2">
      <c r="A27" s="7"/>
      <c r="B27" s="29" t="s">
        <v>1956</v>
      </c>
      <c r="C27" s="7" t="s">
        <v>1964</v>
      </c>
      <c r="D27" s="30">
        <f>1121.03+751.6+1961.81+522.3+356.69</f>
        <v>4713.429999999999</v>
      </c>
      <c r="E27" s="46"/>
    </row>
    <row r="28" spans="1:5" ht="12.75" outlineLevel="2">
      <c r="A28" s="7"/>
      <c r="B28" s="29" t="s">
        <v>1957</v>
      </c>
      <c r="C28" s="7" t="s">
        <v>1964</v>
      </c>
      <c r="D28" s="30">
        <f>1121.03+751.6+1961.81+522.3+356.69</f>
        <v>4713.429999999999</v>
      </c>
      <c r="E28" s="46"/>
    </row>
    <row r="29" spans="1:5" ht="12.75" outlineLevel="2">
      <c r="A29" s="7"/>
      <c r="B29" s="29" t="s">
        <v>1958</v>
      </c>
      <c r="C29" s="7" t="s">
        <v>1964</v>
      </c>
      <c r="D29" s="30">
        <f>1121.03+751.6+1961.81+522.3+356.69</f>
        <v>4713.429999999999</v>
      </c>
      <c r="E29" s="46"/>
    </row>
    <row r="30" spans="1:5" ht="12.75" outlineLevel="2">
      <c r="A30" s="7"/>
      <c r="B30" s="29" t="s">
        <v>1959</v>
      </c>
      <c r="C30" s="7" t="s">
        <v>1964</v>
      </c>
      <c r="D30" s="30">
        <f>1121.03+751.6+1961.81+522.3+356.69</f>
        <v>4713.429999999999</v>
      </c>
      <c r="E30" s="46"/>
    </row>
    <row r="31" spans="1:5" ht="12.75" outlineLevel="2">
      <c r="A31" s="7"/>
      <c r="B31" s="29" t="s">
        <v>1960</v>
      </c>
      <c r="C31" s="7" t="s">
        <v>1964</v>
      </c>
      <c r="D31" s="30">
        <f>1121.03+980.9+585.99+1375.81+598.73+356.69</f>
        <v>5019.15</v>
      </c>
      <c r="E31" s="46"/>
    </row>
    <row r="32" spans="1:5" ht="12.75" outlineLevel="2">
      <c r="A32" s="11"/>
      <c r="B32" s="29" t="s">
        <v>1961</v>
      </c>
      <c r="C32" s="7" t="s">
        <v>1964</v>
      </c>
      <c r="D32" s="30">
        <f>1121.03+980.9+585.99+1375.81+598.73+356.69</f>
        <v>5019.15</v>
      </c>
      <c r="E32" s="46"/>
    </row>
    <row r="33" spans="1:5" ht="12.75" outlineLevel="1">
      <c r="A33" s="117" t="s">
        <v>1346</v>
      </c>
      <c r="B33" s="118"/>
      <c r="C33" s="119"/>
      <c r="D33" s="28">
        <f>SUM(D34:D35)</f>
        <v>4999</v>
      </c>
      <c r="E33" s="46"/>
    </row>
    <row r="34" spans="1:5" ht="12.75" outlineLevel="2">
      <c r="A34" s="7" t="s">
        <v>711</v>
      </c>
      <c r="B34" s="29" t="s">
        <v>1957</v>
      </c>
      <c r="C34" s="7" t="s">
        <v>709</v>
      </c>
      <c r="D34" s="30">
        <v>4734</v>
      </c>
      <c r="E34" s="46"/>
    </row>
    <row r="35" spans="1:5" ht="12.75" outlineLevel="2">
      <c r="A35" s="7" t="s">
        <v>1703</v>
      </c>
      <c r="B35" s="29" t="s">
        <v>1957</v>
      </c>
      <c r="C35" s="7" t="s">
        <v>1702</v>
      </c>
      <c r="D35" s="30">
        <v>265</v>
      </c>
      <c r="E35" s="46"/>
    </row>
    <row r="36" spans="1:5" ht="12.75" outlineLevel="1">
      <c r="A36" s="117" t="s">
        <v>1341</v>
      </c>
      <c r="B36" s="118"/>
      <c r="C36" s="119"/>
      <c r="D36" s="28">
        <f>SUM(D37:D38)</f>
        <v>2221</v>
      </c>
      <c r="E36" s="46"/>
    </row>
    <row r="37" spans="1:5" ht="12.75" outlineLevel="2">
      <c r="A37" s="7" t="s">
        <v>1726</v>
      </c>
      <c r="B37" s="29" t="s">
        <v>849</v>
      </c>
      <c r="C37" s="7" t="s">
        <v>1727</v>
      </c>
      <c r="D37" s="30">
        <v>457</v>
      </c>
      <c r="E37" s="46"/>
    </row>
    <row r="38" spans="1:5" ht="12.75" outlineLevel="2">
      <c r="A38" s="7" t="s">
        <v>526</v>
      </c>
      <c r="B38" s="29" t="s">
        <v>1952</v>
      </c>
      <c r="C38" s="7" t="s">
        <v>528</v>
      </c>
      <c r="D38" s="30">
        <v>1764</v>
      </c>
      <c r="E38" s="46"/>
    </row>
    <row r="39" spans="1:5" ht="12.75" outlineLevel="1">
      <c r="A39" s="117" t="s">
        <v>1347</v>
      </c>
      <c r="B39" s="118"/>
      <c r="C39" s="119"/>
      <c r="D39" s="28">
        <f>SUM(D40:D40)</f>
        <v>2250.34</v>
      </c>
      <c r="E39" s="46"/>
    </row>
    <row r="40" spans="1:5" ht="12.75" outlineLevel="2">
      <c r="A40" s="11"/>
      <c r="B40" s="29"/>
      <c r="C40" s="7" t="s">
        <v>239</v>
      </c>
      <c r="D40" s="30">
        <f>2250.34</f>
        <v>2250.34</v>
      </c>
      <c r="E40" s="46"/>
    </row>
    <row r="41" spans="1:6" ht="12.75">
      <c r="A41" s="6">
        <v>1274.4</v>
      </c>
      <c r="B41" s="6" t="s">
        <v>1356</v>
      </c>
      <c r="C41" s="37" t="s">
        <v>1345</v>
      </c>
      <c r="D41" s="23">
        <f>(1274.4*6*1.46)+(1274.4*6*1.63)</f>
        <v>23627.376</v>
      </c>
      <c r="E41" s="46"/>
      <c r="F41" s="37" t="s">
        <v>1352</v>
      </c>
    </row>
    <row r="42" spans="1:6" ht="12.75">
      <c r="A42" s="6">
        <v>1274.4</v>
      </c>
      <c r="B42" s="6" t="s">
        <v>1356</v>
      </c>
      <c r="C42" s="37" t="s">
        <v>1357</v>
      </c>
      <c r="D42" s="23">
        <f>(1274.4*6*0.1)+(1274.4*6*0.11)</f>
        <v>1605.7440000000001</v>
      </c>
      <c r="E42" s="46"/>
      <c r="F42" s="37" t="s">
        <v>1351</v>
      </c>
    </row>
    <row r="43" spans="1:6" ht="12.75" customHeight="1">
      <c r="A43" s="125" t="s">
        <v>1350</v>
      </c>
      <c r="B43" s="126"/>
      <c r="C43" s="127"/>
      <c r="D43" s="76">
        <f>(1274.4*6*1.57)+(1274.4*6*1.75)</f>
        <v>25386.048000000003</v>
      </c>
      <c r="E43" s="48"/>
      <c r="F43" s="14" t="s">
        <v>788</v>
      </c>
    </row>
    <row r="44" spans="1:6" ht="12.75" customHeight="1">
      <c r="A44" s="125" t="s">
        <v>1362</v>
      </c>
      <c r="B44" s="126"/>
      <c r="C44" s="127"/>
      <c r="D44" s="16">
        <f>10.3*(D46+D47)/100</f>
        <v>33950.274959999995</v>
      </c>
      <c r="E44" s="48"/>
      <c r="F44" s="14" t="s">
        <v>789</v>
      </c>
    </row>
    <row r="45" spans="1:6" ht="12.75" customHeight="1">
      <c r="A45" s="120" t="s">
        <v>1363</v>
      </c>
      <c r="B45" s="121"/>
      <c r="C45" s="122"/>
      <c r="D45" s="41">
        <f>D44+D43+D3</f>
        <v>202755.15296</v>
      </c>
      <c r="E45" s="48">
        <v>1</v>
      </c>
      <c r="F45" s="14" t="s">
        <v>790</v>
      </c>
    </row>
    <row r="46" spans="1:6" ht="12.75" customHeight="1">
      <c r="A46" s="114" t="s">
        <v>1364</v>
      </c>
      <c r="B46" s="115"/>
      <c r="C46" s="116"/>
      <c r="D46" s="18">
        <v>287552.16</v>
      </c>
      <c r="E46" s="48">
        <v>2</v>
      </c>
      <c r="F46" s="27"/>
    </row>
    <row r="47" spans="1:6" ht="12.75" customHeight="1">
      <c r="A47" s="114" t="s">
        <v>1365</v>
      </c>
      <c r="B47" s="115"/>
      <c r="C47" s="116"/>
      <c r="D47" s="18">
        <v>42062.16</v>
      </c>
      <c r="E47" s="48">
        <v>3</v>
      </c>
      <c r="F47" s="37" t="s">
        <v>1352</v>
      </c>
    </row>
    <row r="48" spans="1:6" ht="12.75" customHeight="1">
      <c r="A48" s="114" t="s">
        <v>2221</v>
      </c>
      <c r="B48" s="115"/>
      <c r="C48" s="116"/>
      <c r="D48" s="19">
        <f>330185.06+D46</f>
        <v>617737.22</v>
      </c>
      <c r="E48" s="48">
        <v>4</v>
      </c>
      <c r="F48" s="37" t="s">
        <v>791</v>
      </c>
    </row>
    <row r="49" spans="1:6" ht="13.5" customHeight="1">
      <c r="A49" s="114" t="s">
        <v>2222</v>
      </c>
      <c r="B49" s="115"/>
      <c r="C49" s="116"/>
      <c r="D49" s="19">
        <f>208648.9+D54</f>
        <v>421639.04000000004</v>
      </c>
      <c r="E49" s="48">
        <v>5</v>
      </c>
      <c r="F49" s="14" t="s">
        <v>843</v>
      </c>
    </row>
    <row r="50" spans="1:6" ht="25.5" customHeight="1">
      <c r="A50" s="120" t="s">
        <v>2223</v>
      </c>
      <c r="B50" s="121"/>
      <c r="C50" s="122"/>
      <c r="D50" s="42">
        <f>208141.7+D45</f>
        <v>410896.85296000005</v>
      </c>
      <c r="E50" s="48">
        <v>6</v>
      </c>
      <c r="F50" s="14" t="s">
        <v>844</v>
      </c>
    </row>
    <row r="51" spans="1:6" ht="12.75" customHeight="1">
      <c r="A51" s="114" t="s">
        <v>2224</v>
      </c>
      <c r="B51" s="115"/>
      <c r="C51" s="116"/>
      <c r="D51" s="19">
        <f>48294.35+D47</f>
        <v>90356.51000000001</v>
      </c>
      <c r="E51" s="48">
        <v>7</v>
      </c>
      <c r="F51" s="14" t="s">
        <v>845</v>
      </c>
    </row>
    <row r="52" spans="1:6" ht="12.75" customHeight="1">
      <c r="A52" s="114" t="s">
        <v>2225</v>
      </c>
      <c r="B52" s="115"/>
      <c r="C52" s="116"/>
      <c r="D52" s="19">
        <f>30501.65+D55</f>
        <v>61657.130000000005</v>
      </c>
      <c r="E52" s="48">
        <v>8</v>
      </c>
      <c r="F52" s="14" t="s">
        <v>787</v>
      </c>
    </row>
    <row r="53" spans="1:6" ht="12.75" customHeight="1">
      <c r="A53" s="120" t="s">
        <v>2226</v>
      </c>
      <c r="B53" s="121"/>
      <c r="C53" s="122"/>
      <c r="D53" s="42">
        <v>0</v>
      </c>
      <c r="E53" s="48">
        <v>9</v>
      </c>
      <c r="F53" s="14" t="s">
        <v>846</v>
      </c>
    </row>
    <row r="54" spans="1:6" ht="12.75" customHeight="1">
      <c r="A54" s="114" t="s">
        <v>779</v>
      </c>
      <c r="B54" s="115"/>
      <c r="C54" s="116"/>
      <c r="D54" s="18">
        <v>212990.14</v>
      </c>
      <c r="E54" s="48">
        <v>10</v>
      </c>
      <c r="F54" s="14" t="s">
        <v>847</v>
      </c>
    </row>
    <row r="55" spans="1:6" ht="12.75" customHeight="1">
      <c r="A55" s="114" t="s">
        <v>780</v>
      </c>
      <c r="B55" s="115"/>
      <c r="C55" s="116"/>
      <c r="D55" s="18">
        <v>31155.48</v>
      </c>
      <c r="E55" s="48">
        <v>11</v>
      </c>
      <c r="F55" s="14" t="s">
        <v>848</v>
      </c>
    </row>
    <row r="56" spans="1:6" ht="12.75" customHeight="1">
      <c r="A56" s="120" t="s">
        <v>781</v>
      </c>
      <c r="B56" s="121"/>
      <c r="C56" s="122"/>
      <c r="D56" s="41">
        <v>0</v>
      </c>
      <c r="E56" s="48">
        <v>12</v>
      </c>
      <c r="F56" s="43"/>
    </row>
    <row r="57" spans="1:6" ht="27" customHeight="1">
      <c r="A57" s="108" t="s">
        <v>782</v>
      </c>
      <c r="B57" s="109"/>
      <c r="C57" s="110"/>
      <c r="D57" s="26">
        <f>D48-D50</f>
        <v>206840.36703999992</v>
      </c>
      <c r="E57" s="48">
        <v>13</v>
      </c>
      <c r="F57" s="43"/>
    </row>
    <row r="58" spans="1:6" ht="25.5" customHeight="1">
      <c r="A58" s="108" t="s">
        <v>783</v>
      </c>
      <c r="B58" s="109"/>
      <c r="C58" s="110"/>
      <c r="D58" s="26">
        <f>D51-D53</f>
        <v>90356.51000000001</v>
      </c>
      <c r="E58" s="48">
        <v>14</v>
      </c>
      <c r="F58" s="43"/>
    </row>
    <row r="59" spans="1:6" ht="25.5" customHeight="1">
      <c r="A59" s="144" t="s">
        <v>784</v>
      </c>
      <c r="B59" s="145"/>
      <c r="C59" s="146"/>
      <c r="D59" s="26">
        <f>D49-D50</f>
        <v>10742.18703999999</v>
      </c>
      <c r="E59" s="48">
        <v>15</v>
      </c>
      <c r="F59" s="43"/>
    </row>
    <row r="60" ht="12.75">
      <c r="F60" s="43"/>
    </row>
    <row r="61" ht="12.75">
      <c r="B61" s="66"/>
    </row>
  </sheetData>
  <sheetProtection/>
  <mergeCells count="25">
    <mergeCell ref="A50:C50"/>
    <mergeCell ref="A51:C51"/>
    <mergeCell ref="A43:C43"/>
    <mergeCell ref="A44:C44"/>
    <mergeCell ref="A45:C45"/>
    <mergeCell ref="A46:C46"/>
    <mergeCell ref="A47:C47"/>
    <mergeCell ref="A49:C49"/>
    <mergeCell ref="A1:D1"/>
    <mergeCell ref="A48:C48"/>
    <mergeCell ref="A17:C17"/>
    <mergeCell ref="A3:C3"/>
    <mergeCell ref="A4:C4"/>
    <mergeCell ref="A20:C20"/>
    <mergeCell ref="A33:C33"/>
    <mergeCell ref="A36:C36"/>
    <mergeCell ref="A39:C39"/>
    <mergeCell ref="A58:C58"/>
    <mergeCell ref="A59:C59"/>
    <mergeCell ref="A52:C52"/>
    <mergeCell ref="A53:C53"/>
    <mergeCell ref="A54:C54"/>
    <mergeCell ref="A55:C55"/>
    <mergeCell ref="A56:C56"/>
    <mergeCell ref="A57:C57"/>
  </mergeCells>
  <printOptions/>
  <pageMargins left="0.25" right="0.17" top="0.17" bottom="0.27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92"/>
  <sheetViews>
    <sheetView zoomScalePageLayoutView="0" workbookViewId="0" topLeftCell="A1">
      <pane ySplit="2" topLeftCell="A3" activePane="bottomLeft" state="frozen"/>
      <selection pane="topLeft" activeCell="C163" activeCellId="4" sqref="A184:C184 B186 D187 C187 C163"/>
      <selection pane="bottomLeft" activeCell="D91" sqref="A1:D91"/>
    </sheetView>
  </sheetViews>
  <sheetFormatPr defaultColWidth="13.421875" defaultRowHeight="12.75" outlineLevelRow="2"/>
  <cols>
    <col min="1" max="1" width="13.281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0.75" customHeight="1" thickBot="1">
      <c r="A1" s="135" t="s">
        <v>1585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D4+D8</f>
        <v>232112.05</v>
      </c>
      <c r="E3" s="45"/>
    </row>
    <row r="4" spans="1:5" ht="12.75" outlineLevel="1">
      <c r="A4" s="117" t="s">
        <v>1354</v>
      </c>
      <c r="B4" s="118"/>
      <c r="C4" s="119"/>
      <c r="D4" s="28">
        <f>SUM(D5:D7)</f>
        <v>134834.05</v>
      </c>
      <c r="E4" s="46"/>
    </row>
    <row r="5" spans="1:5" ht="12.75" outlineLevel="2">
      <c r="A5" s="7" t="s">
        <v>988</v>
      </c>
      <c r="B5" s="29" t="s">
        <v>1955</v>
      </c>
      <c r="C5" s="13" t="s">
        <v>989</v>
      </c>
      <c r="D5" s="30">
        <v>19917</v>
      </c>
      <c r="E5" s="46"/>
    </row>
    <row r="6" spans="1:5" ht="12.75" outlineLevel="2">
      <c r="A6" s="7" t="s">
        <v>1999</v>
      </c>
      <c r="B6" s="29" t="s">
        <v>1959</v>
      </c>
      <c r="C6" s="13" t="s">
        <v>2000</v>
      </c>
      <c r="D6" s="30">
        <v>96063.72</v>
      </c>
      <c r="E6" s="46"/>
    </row>
    <row r="7" spans="1:5" ht="12.75" outlineLevel="2">
      <c r="A7" s="7" t="s">
        <v>195</v>
      </c>
      <c r="B7" s="29" t="s">
        <v>1960</v>
      </c>
      <c r="C7" s="13" t="s">
        <v>1991</v>
      </c>
      <c r="D7" s="30">
        <v>18853.33</v>
      </c>
      <c r="E7" s="46"/>
    </row>
    <row r="8" spans="1:5" ht="12.75" outlineLevel="1">
      <c r="A8" s="117" t="s">
        <v>1355</v>
      </c>
      <c r="B8" s="118"/>
      <c r="C8" s="119"/>
      <c r="D8" s="28">
        <f>SUM(D9:D9)</f>
        <v>97278</v>
      </c>
      <c r="E8" s="46"/>
    </row>
    <row r="9" spans="1:5" ht="12.75" outlineLevel="2">
      <c r="A9" s="7" t="s">
        <v>902</v>
      </c>
      <c r="B9" s="29" t="s">
        <v>1958</v>
      </c>
      <c r="C9" s="13" t="s">
        <v>903</v>
      </c>
      <c r="D9" s="30">
        <v>97278</v>
      </c>
      <c r="E9" s="46"/>
    </row>
    <row r="10" spans="1:5" ht="13.5" customHeight="1" thickBot="1">
      <c r="A10" s="124" t="s">
        <v>1343</v>
      </c>
      <c r="B10" s="124"/>
      <c r="C10" s="124"/>
      <c r="D10" s="25">
        <f>D11+D36+D38+D40+D53+D63+D67+D71+D72</f>
        <v>240043.52000000002</v>
      </c>
      <c r="E10" s="45"/>
    </row>
    <row r="11" spans="1:5" ht="13.5" outlineLevel="1" thickTop="1">
      <c r="A11" s="111" t="s">
        <v>1354</v>
      </c>
      <c r="B11" s="112"/>
      <c r="C11" s="113"/>
      <c r="D11" s="28">
        <f>SUM(D12:D35)</f>
        <v>46299.91</v>
      </c>
      <c r="E11" s="46"/>
    </row>
    <row r="12" spans="1:5" ht="12.75" outlineLevel="2">
      <c r="A12" s="7" t="s">
        <v>356</v>
      </c>
      <c r="B12" s="29" t="s">
        <v>1951</v>
      </c>
      <c r="C12" s="7" t="s">
        <v>357</v>
      </c>
      <c r="D12" s="30">
        <v>206</v>
      </c>
      <c r="E12" s="46"/>
    </row>
    <row r="13" spans="1:5" ht="12.75" outlineLevel="2">
      <c r="A13" s="7" t="s">
        <v>485</v>
      </c>
      <c r="B13" s="29" t="s">
        <v>1952</v>
      </c>
      <c r="C13" s="7" t="s">
        <v>488</v>
      </c>
      <c r="D13" s="30">
        <v>1139</v>
      </c>
      <c r="E13" s="46"/>
    </row>
    <row r="14" spans="1:5" ht="12.75" outlineLevel="2">
      <c r="A14" s="7" t="s">
        <v>1686</v>
      </c>
      <c r="B14" s="29" t="s">
        <v>1952</v>
      </c>
      <c r="C14" s="7" t="s">
        <v>1687</v>
      </c>
      <c r="D14" s="30">
        <v>1491</v>
      </c>
      <c r="E14" s="46"/>
    </row>
    <row r="15" spans="1:5" ht="12.75" outlineLevel="2">
      <c r="A15" s="7" t="s">
        <v>2337</v>
      </c>
      <c r="B15" s="29" t="s">
        <v>1953</v>
      </c>
      <c r="C15" s="7" t="s">
        <v>2338</v>
      </c>
      <c r="D15" s="30">
        <v>1004</v>
      </c>
      <c r="E15" s="46"/>
    </row>
    <row r="16" spans="1:5" ht="12.75" outlineLevel="2">
      <c r="A16" s="7" t="s">
        <v>2343</v>
      </c>
      <c r="B16" s="29" t="s">
        <v>1953</v>
      </c>
      <c r="C16" s="7" t="s">
        <v>2344</v>
      </c>
      <c r="D16" s="30">
        <v>766</v>
      </c>
      <c r="E16" s="46"/>
    </row>
    <row r="17" spans="1:5" ht="12.75" outlineLevel="2">
      <c r="A17" s="7" t="s">
        <v>2099</v>
      </c>
      <c r="B17" s="29" t="s">
        <v>1953</v>
      </c>
      <c r="C17" s="7" t="s">
        <v>1296</v>
      </c>
      <c r="D17" s="30">
        <v>94.7</v>
      </c>
      <c r="E17" s="46"/>
    </row>
    <row r="18" spans="1:5" ht="12.75" outlineLevel="2">
      <c r="A18" s="7" t="s">
        <v>2350</v>
      </c>
      <c r="B18" s="29" t="s">
        <v>1953</v>
      </c>
      <c r="C18" s="7" t="s">
        <v>2352</v>
      </c>
      <c r="D18" s="30">
        <v>3141</v>
      </c>
      <c r="E18" s="46"/>
    </row>
    <row r="19" spans="1:5" ht="12.75" outlineLevel="2">
      <c r="A19" s="7" t="s">
        <v>2401</v>
      </c>
      <c r="B19" s="29" t="s">
        <v>1953</v>
      </c>
      <c r="C19" s="7" t="s">
        <v>2402</v>
      </c>
      <c r="D19" s="30">
        <v>604</v>
      </c>
      <c r="E19" s="46"/>
    </row>
    <row r="20" spans="1:5" ht="12.75" outlineLevel="2">
      <c r="A20" s="7" t="s">
        <v>2653</v>
      </c>
      <c r="B20" s="29" t="s">
        <v>1954</v>
      </c>
      <c r="C20" s="7" t="s">
        <v>2654</v>
      </c>
      <c r="D20" s="30">
        <v>1612</v>
      </c>
      <c r="E20" s="46"/>
    </row>
    <row r="21" spans="1:5" ht="12.75" outlineLevel="2">
      <c r="A21" s="8" t="s">
        <v>574</v>
      </c>
      <c r="B21" s="29" t="s">
        <v>1954</v>
      </c>
      <c r="C21" s="7" t="s">
        <v>559</v>
      </c>
      <c r="D21" s="30">
        <v>93.17</v>
      </c>
      <c r="E21" s="46"/>
    </row>
    <row r="22" spans="1:5" ht="12.75" outlineLevel="2">
      <c r="A22" s="8" t="s">
        <v>2785</v>
      </c>
      <c r="B22" s="29" t="s">
        <v>1954</v>
      </c>
      <c r="C22" s="8" t="s">
        <v>1328</v>
      </c>
      <c r="D22" s="31">
        <v>189.4</v>
      </c>
      <c r="E22" s="46"/>
    </row>
    <row r="23" spans="1:5" ht="12.75" outlineLevel="2">
      <c r="A23" s="8" t="s">
        <v>176</v>
      </c>
      <c r="B23" s="29" t="s">
        <v>1955</v>
      </c>
      <c r="C23" s="8" t="s">
        <v>178</v>
      </c>
      <c r="D23" s="31">
        <v>1393</v>
      </c>
      <c r="E23" s="46"/>
    </row>
    <row r="24" spans="1:5" ht="12.75" outlineLevel="2">
      <c r="A24" s="8" t="s">
        <v>1086</v>
      </c>
      <c r="B24" s="29" t="s">
        <v>1956</v>
      </c>
      <c r="C24" s="8" t="s">
        <v>1087</v>
      </c>
      <c r="D24" s="31">
        <v>15.53</v>
      </c>
      <c r="E24" s="46"/>
    </row>
    <row r="25" spans="1:5" ht="12.75" outlineLevel="2">
      <c r="A25" s="8" t="s">
        <v>1761</v>
      </c>
      <c r="B25" s="29" t="s">
        <v>1958</v>
      </c>
      <c r="C25" s="7" t="s">
        <v>1762</v>
      </c>
      <c r="D25" s="30">
        <v>6554</v>
      </c>
      <c r="E25" s="46"/>
    </row>
    <row r="26" spans="1:5" ht="12.75" outlineLevel="2">
      <c r="A26" s="8" t="s">
        <v>1243</v>
      </c>
      <c r="B26" s="29" t="s">
        <v>1957</v>
      </c>
      <c r="C26" s="7" t="s">
        <v>1244</v>
      </c>
      <c r="D26" s="31">
        <v>1593</v>
      </c>
      <c r="E26" s="46"/>
    </row>
    <row r="27" spans="1:5" ht="12.75" outlineLevel="2">
      <c r="A27" s="8" t="s">
        <v>2148</v>
      </c>
      <c r="B27" s="29" t="s">
        <v>1959</v>
      </c>
      <c r="C27" s="7" t="s">
        <v>1186</v>
      </c>
      <c r="D27" s="31">
        <v>1357</v>
      </c>
      <c r="E27" s="46"/>
    </row>
    <row r="28" spans="1:5" ht="12.75" outlineLevel="2">
      <c r="A28" s="8" t="s">
        <v>1152</v>
      </c>
      <c r="B28" s="29" t="s">
        <v>1959</v>
      </c>
      <c r="C28" s="7" t="s">
        <v>2727</v>
      </c>
      <c r="D28" s="31">
        <v>1334.41</v>
      </c>
      <c r="E28" s="46"/>
    </row>
    <row r="29" spans="1:5" ht="12.75" outlineLevel="2">
      <c r="A29" s="8" t="s">
        <v>2014</v>
      </c>
      <c r="B29" s="29" t="s">
        <v>1959</v>
      </c>
      <c r="C29" s="7" t="s">
        <v>2015</v>
      </c>
      <c r="D29" s="31">
        <v>54.1</v>
      </c>
      <c r="E29" s="46"/>
    </row>
    <row r="30" spans="1:5" ht="12.75" outlineLevel="2">
      <c r="A30" s="8" t="s">
        <v>815</v>
      </c>
      <c r="B30" s="29" t="s">
        <v>1960</v>
      </c>
      <c r="C30" s="7" t="s">
        <v>816</v>
      </c>
      <c r="D30" s="31">
        <v>14410.07</v>
      </c>
      <c r="E30" s="46"/>
    </row>
    <row r="31" spans="1:5" ht="12.75" outlineLevel="2">
      <c r="A31" s="8" t="s">
        <v>182</v>
      </c>
      <c r="B31" s="29" t="s">
        <v>1960</v>
      </c>
      <c r="C31" s="7" t="s">
        <v>186</v>
      </c>
      <c r="D31" s="31">
        <v>321.96</v>
      </c>
      <c r="E31" s="46"/>
    </row>
    <row r="32" spans="1:5" ht="12.75" outlineLevel="2">
      <c r="A32" s="8" t="s">
        <v>920</v>
      </c>
      <c r="B32" s="29" t="s">
        <v>1960</v>
      </c>
      <c r="C32" s="7" t="s">
        <v>921</v>
      </c>
      <c r="D32" s="31">
        <v>2272.8</v>
      </c>
      <c r="E32" s="46"/>
    </row>
    <row r="33" spans="1:5" ht="12.75" outlineLevel="2">
      <c r="A33" s="8" t="s">
        <v>1719</v>
      </c>
      <c r="B33" s="29" t="s">
        <v>1961</v>
      </c>
      <c r="C33" s="7" t="s">
        <v>186</v>
      </c>
      <c r="D33" s="31">
        <v>429</v>
      </c>
      <c r="E33" s="46"/>
    </row>
    <row r="34" spans="1:5" ht="12.75" outlineLevel="2">
      <c r="A34" s="8" t="s">
        <v>1439</v>
      </c>
      <c r="B34" s="29" t="s">
        <v>1961</v>
      </c>
      <c r="C34" s="7" t="s">
        <v>1440</v>
      </c>
      <c r="D34" s="31">
        <v>5688</v>
      </c>
      <c r="E34" s="46"/>
    </row>
    <row r="35" spans="1:5" ht="12.75" outlineLevel="2">
      <c r="A35" s="8" t="s">
        <v>1507</v>
      </c>
      <c r="B35" s="29" t="s">
        <v>1961</v>
      </c>
      <c r="C35" s="7" t="s">
        <v>1509</v>
      </c>
      <c r="D35" s="31">
        <v>536.77</v>
      </c>
      <c r="E35" s="46"/>
    </row>
    <row r="36" spans="1:5" ht="12.75" outlineLevel="1">
      <c r="A36" s="117" t="s">
        <v>1340</v>
      </c>
      <c r="B36" s="118"/>
      <c r="C36" s="119"/>
      <c r="D36" s="28">
        <f>SUM(D37:D37)</f>
        <v>169.39</v>
      </c>
      <c r="E36" s="46"/>
    </row>
    <row r="37" spans="1:5" ht="12.75" outlineLevel="2">
      <c r="A37" s="75" t="s">
        <v>1463</v>
      </c>
      <c r="B37" s="52" t="s">
        <v>1961</v>
      </c>
      <c r="C37" s="51" t="s">
        <v>1465</v>
      </c>
      <c r="D37" s="30">
        <v>169.39</v>
      </c>
      <c r="E37" s="46"/>
    </row>
    <row r="38" spans="1:5" ht="12.75" outlineLevel="1">
      <c r="A38" s="117" t="s">
        <v>1342</v>
      </c>
      <c r="B38" s="118"/>
      <c r="C38" s="119"/>
      <c r="D38" s="28">
        <f>SUM(D39:D39)</f>
        <v>15976</v>
      </c>
      <c r="E38" s="46"/>
    </row>
    <row r="39" spans="1:5" ht="12.75" outlineLevel="2">
      <c r="A39" s="7" t="s">
        <v>1223</v>
      </c>
      <c r="B39" s="29" t="s">
        <v>1957</v>
      </c>
      <c r="C39" s="7" t="s">
        <v>1220</v>
      </c>
      <c r="D39" s="30">
        <v>15976</v>
      </c>
      <c r="E39" s="46"/>
    </row>
    <row r="40" spans="1:5" ht="12.75" outlineLevel="1">
      <c r="A40" s="117" t="s">
        <v>1344</v>
      </c>
      <c r="B40" s="118"/>
      <c r="C40" s="119"/>
      <c r="D40" s="28">
        <f>SUM(D41:D52)</f>
        <v>107535.78</v>
      </c>
      <c r="E40" s="46"/>
    </row>
    <row r="41" spans="1:5" ht="12.75" outlineLevel="2">
      <c r="A41" s="7"/>
      <c r="B41" s="29" t="s">
        <v>849</v>
      </c>
      <c r="C41" s="7" t="s">
        <v>1950</v>
      </c>
      <c r="D41" s="30">
        <f>1906.92+1771.85+1052.84+2490.86+1078.52+667.65</f>
        <v>8968.64</v>
      </c>
      <c r="E41" s="46"/>
    </row>
    <row r="42" spans="1:5" ht="12.75" outlineLevel="2">
      <c r="A42" s="7"/>
      <c r="B42" s="29" t="s">
        <v>1951</v>
      </c>
      <c r="C42" s="7" t="s">
        <v>1950</v>
      </c>
      <c r="D42" s="30">
        <f>2028.64+1771.85+1052.84+2490.86+1078.52+667.65</f>
        <v>9090.36</v>
      </c>
      <c r="E42" s="46"/>
    </row>
    <row r="43" spans="1:5" ht="12.75" outlineLevel="2">
      <c r="A43" s="7"/>
      <c r="B43" s="29" t="s">
        <v>1952</v>
      </c>
      <c r="C43" s="7" t="s">
        <v>1950</v>
      </c>
      <c r="D43" s="30">
        <f>2028.64+1771.85+1052.84+2490.86+1078.52+667.65+154.07</f>
        <v>9244.43</v>
      </c>
      <c r="E43" s="46"/>
    </row>
    <row r="44" spans="1:5" ht="12.75" outlineLevel="2">
      <c r="A44" s="7"/>
      <c r="B44" s="29" t="s">
        <v>1953</v>
      </c>
      <c r="C44" s="7" t="s">
        <v>1950</v>
      </c>
      <c r="D44" s="30">
        <f>2028.64+1566.42+3543.7+1027.16+667.65+132.5</f>
        <v>8966.07</v>
      </c>
      <c r="E44" s="46"/>
    </row>
    <row r="45" spans="1:5" ht="12.75" outlineLevel="2">
      <c r="A45" s="7"/>
      <c r="B45" s="29" t="s">
        <v>1954</v>
      </c>
      <c r="C45" s="7" t="s">
        <v>1950</v>
      </c>
      <c r="D45" s="30">
        <f>2028.64+1360.99+3492.34+950.12+641.98+154.07</f>
        <v>8628.14</v>
      </c>
      <c r="E45" s="46"/>
    </row>
    <row r="46" spans="1:5" ht="12.75" outlineLevel="2">
      <c r="A46" s="7"/>
      <c r="B46" s="29" t="s">
        <v>1955</v>
      </c>
      <c r="C46" s="7" t="s">
        <v>1950</v>
      </c>
      <c r="D46" s="30">
        <f>1771.85+475.06+320.99</f>
        <v>2567.8999999999996</v>
      </c>
      <c r="E46" s="46"/>
    </row>
    <row r="47" spans="1:5" ht="12.75" outlineLevel="2">
      <c r="A47" s="7"/>
      <c r="B47" s="29" t="s">
        <v>1956</v>
      </c>
      <c r="C47" s="7" t="s">
        <v>1950</v>
      </c>
      <c r="D47" s="30">
        <f>2259.75+1515.06+3954.57+1052.84+719.01</f>
        <v>9501.23</v>
      </c>
      <c r="E47" s="46"/>
    </row>
    <row r="48" spans="1:5" ht="12.75" outlineLevel="2">
      <c r="A48" s="7"/>
      <c r="B48" s="29" t="s">
        <v>1957</v>
      </c>
      <c r="C48" s="7" t="s">
        <v>1950</v>
      </c>
      <c r="D48" s="30">
        <f>2259.75+1515.06+3954.57+1052.84+719.01+3235.55</f>
        <v>12736.779999999999</v>
      </c>
      <c r="E48" s="46"/>
    </row>
    <row r="49" spans="1:5" ht="12.75" outlineLevel="2">
      <c r="A49" s="7"/>
      <c r="B49" s="29" t="s">
        <v>1958</v>
      </c>
      <c r="C49" s="7" t="s">
        <v>1950</v>
      </c>
      <c r="D49" s="30">
        <f>2259.9+1515.06+3954.57+1052.84+719.01</f>
        <v>9501.380000000001</v>
      </c>
      <c r="E49" s="46"/>
    </row>
    <row r="50" spans="1:5" ht="12.75" outlineLevel="2">
      <c r="A50" s="7"/>
      <c r="B50" s="29" t="s">
        <v>1959</v>
      </c>
      <c r="C50" s="7" t="s">
        <v>1950</v>
      </c>
      <c r="D50" s="30">
        <f>2259.75+1515.06+3954.57+452.72+309.18</f>
        <v>8491.28</v>
      </c>
      <c r="E50" s="46"/>
    </row>
    <row r="51" spans="1:5" ht="12.75" outlineLevel="2">
      <c r="A51" s="7"/>
      <c r="B51" s="29" t="s">
        <v>1960</v>
      </c>
      <c r="C51" s="7" t="s">
        <v>1950</v>
      </c>
      <c r="D51" s="30">
        <f>2259.75+1977.28+1181.23+2773.33+1206.91+719.01</f>
        <v>10117.51</v>
      </c>
      <c r="E51" s="46"/>
    </row>
    <row r="52" spans="1:5" ht="12.75" outlineLevel="2">
      <c r="A52" s="11"/>
      <c r="B52" s="29" t="s">
        <v>1961</v>
      </c>
      <c r="C52" s="7" t="s">
        <v>1950</v>
      </c>
      <c r="D52" s="30">
        <f>2259.75+1581.83+1181.23+2773.33+1206.91+719.01</f>
        <v>9722.06</v>
      </c>
      <c r="E52" s="46"/>
    </row>
    <row r="53" spans="1:5" ht="12.75" outlineLevel="1">
      <c r="A53" s="117" t="s">
        <v>1346</v>
      </c>
      <c r="B53" s="118"/>
      <c r="C53" s="119"/>
      <c r="D53" s="28">
        <f>SUM(D54:D62)</f>
        <v>9223.15</v>
      </c>
      <c r="E53" s="46"/>
    </row>
    <row r="54" spans="1:5" ht="12.75" outlineLevel="2">
      <c r="A54" s="7" t="s">
        <v>1976</v>
      </c>
      <c r="B54" s="29" t="s">
        <v>849</v>
      </c>
      <c r="C54" s="7" t="s">
        <v>1975</v>
      </c>
      <c r="D54" s="30">
        <v>731.25</v>
      </c>
      <c r="E54" s="46"/>
    </row>
    <row r="55" spans="1:5" ht="12.75" outlineLevel="2">
      <c r="A55" s="63" t="s">
        <v>2237</v>
      </c>
      <c r="B55" s="29" t="s">
        <v>1952</v>
      </c>
      <c r="C55" s="51" t="s">
        <v>2393</v>
      </c>
      <c r="D55" s="30">
        <v>1200</v>
      </c>
      <c r="E55" s="46"/>
    </row>
    <row r="56" spans="1:5" ht="12.75" outlineLevel="2">
      <c r="A56" s="63" t="s">
        <v>2237</v>
      </c>
      <c r="B56" s="29" t="s">
        <v>1952</v>
      </c>
      <c r="C56" s="51" t="s">
        <v>2394</v>
      </c>
      <c r="D56" s="30">
        <v>117</v>
      </c>
      <c r="E56" s="46"/>
    </row>
    <row r="57" spans="1:5" ht="12.75" outlineLevel="2">
      <c r="A57" s="63" t="s">
        <v>2237</v>
      </c>
      <c r="B57" s="29" t="s">
        <v>1952</v>
      </c>
      <c r="C57" s="7" t="s">
        <v>2390</v>
      </c>
      <c r="D57" s="30">
        <v>700</v>
      </c>
      <c r="E57" s="46"/>
    </row>
    <row r="58" spans="1:5" ht="12.75" outlineLevel="2">
      <c r="A58" s="63" t="s">
        <v>1619</v>
      </c>
      <c r="B58" s="29" t="s">
        <v>1952</v>
      </c>
      <c r="C58" s="7" t="s">
        <v>2393</v>
      </c>
      <c r="D58" s="30">
        <v>1800</v>
      </c>
      <c r="E58" s="46"/>
    </row>
    <row r="59" spans="1:5" ht="12.75" outlineLevel="2">
      <c r="A59" s="63" t="s">
        <v>1619</v>
      </c>
      <c r="B59" s="29" t="s">
        <v>1952</v>
      </c>
      <c r="C59" s="7" t="s">
        <v>2394</v>
      </c>
      <c r="D59" s="30">
        <v>175</v>
      </c>
      <c r="E59" s="46"/>
    </row>
    <row r="60" spans="1:5" ht="12.75" outlineLevel="2">
      <c r="A60" s="63" t="s">
        <v>1619</v>
      </c>
      <c r="B60" s="29" t="s">
        <v>1952</v>
      </c>
      <c r="C60" s="7" t="s">
        <v>2390</v>
      </c>
      <c r="D60" s="30">
        <v>1400</v>
      </c>
      <c r="E60" s="46"/>
    </row>
    <row r="61" spans="1:5" ht="12.75" outlineLevel="2">
      <c r="A61" s="7" t="s">
        <v>711</v>
      </c>
      <c r="B61" s="29" t="s">
        <v>1957</v>
      </c>
      <c r="C61" s="7" t="s">
        <v>709</v>
      </c>
      <c r="D61" s="30">
        <v>1637</v>
      </c>
      <c r="E61" s="46"/>
    </row>
    <row r="62" spans="1:5" ht="12.75" outlineLevel="2">
      <c r="A62" s="51" t="s">
        <v>220</v>
      </c>
      <c r="B62" s="52" t="s">
        <v>1961</v>
      </c>
      <c r="C62" s="51" t="s">
        <v>221</v>
      </c>
      <c r="D62" s="30">
        <v>1462.9</v>
      </c>
      <c r="E62" s="46"/>
    </row>
    <row r="63" spans="1:5" ht="12.75" outlineLevel="1">
      <c r="A63" s="117" t="s">
        <v>1341</v>
      </c>
      <c r="B63" s="118"/>
      <c r="C63" s="119"/>
      <c r="D63" s="28">
        <f>SUM(D64:D66)</f>
        <v>3180.25</v>
      </c>
      <c r="E63" s="46"/>
    </row>
    <row r="64" spans="1:5" ht="12.75" outlineLevel="2">
      <c r="A64" s="7" t="s">
        <v>244</v>
      </c>
      <c r="B64" s="29" t="s">
        <v>1960</v>
      </c>
      <c r="C64" s="7" t="s">
        <v>246</v>
      </c>
      <c r="D64" s="30">
        <v>335.25</v>
      </c>
      <c r="E64" s="46"/>
    </row>
    <row r="65" spans="1:5" ht="12.75" outlineLevel="2">
      <c r="A65" s="7" t="s">
        <v>252</v>
      </c>
      <c r="B65" s="29" t="s">
        <v>1960</v>
      </c>
      <c r="C65" s="7" t="s">
        <v>253</v>
      </c>
      <c r="D65" s="30">
        <v>2141.28</v>
      </c>
      <c r="E65" s="46"/>
    </row>
    <row r="66" spans="1:5" ht="12.75" outlineLevel="2">
      <c r="A66" s="7" t="s">
        <v>218</v>
      </c>
      <c r="B66" s="29" t="s">
        <v>1961</v>
      </c>
      <c r="C66" s="7" t="s">
        <v>1386</v>
      </c>
      <c r="D66" s="30">
        <v>703.72</v>
      </c>
      <c r="E66" s="46"/>
    </row>
    <row r="67" spans="1:5" ht="12.75">
      <c r="A67" s="117" t="s">
        <v>1348</v>
      </c>
      <c r="B67" s="118"/>
      <c r="C67" s="119"/>
      <c r="D67" s="32">
        <f>D68</f>
        <v>6084</v>
      </c>
      <c r="E67" s="46"/>
    </row>
    <row r="68" spans="1:5" ht="12.75" outlineLevel="2">
      <c r="A68" s="7" t="s">
        <v>1310</v>
      </c>
      <c r="B68" s="29" t="s">
        <v>1953</v>
      </c>
      <c r="C68" s="51" t="s">
        <v>1586</v>
      </c>
      <c r="D68" s="30">
        <v>6084</v>
      </c>
      <c r="E68" s="46"/>
    </row>
    <row r="69" spans="1:5" ht="12.75" customHeight="1">
      <c r="A69" s="129" t="s">
        <v>1349</v>
      </c>
      <c r="B69" s="130"/>
      <c r="C69" s="131"/>
      <c r="D69" s="32">
        <v>372976</v>
      </c>
      <c r="E69" s="45"/>
    </row>
    <row r="70" spans="1:5" ht="12.75" outlineLevel="1">
      <c r="A70" s="13" t="s">
        <v>50</v>
      </c>
      <c r="B70" s="7"/>
      <c r="C70" s="70" t="s">
        <v>49</v>
      </c>
      <c r="D70" s="36">
        <v>372976</v>
      </c>
      <c r="E70" s="46"/>
    </row>
    <row r="71" spans="1:6" ht="12.75">
      <c r="A71" s="6">
        <v>2604.8</v>
      </c>
      <c r="B71" s="6" t="s">
        <v>1356</v>
      </c>
      <c r="C71" s="37" t="s">
        <v>1345</v>
      </c>
      <c r="D71" s="23">
        <f>(2604.8*6*1.46)+(2604.8*6*1.63)</f>
        <v>48292.992</v>
      </c>
      <c r="E71" s="46"/>
      <c r="F71" s="37" t="s">
        <v>1352</v>
      </c>
    </row>
    <row r="72" spans="1:6" ht="12.75">
      <c r="A72" s="6">
        <v>2604.8</v>
      </c>
      <c r="B72" s="6" t="s">
        <v>1356</v>
      </c>
      <c r="C72" s="37" t="s">
        <v>1357</v>
      </c>
      <c r="D72" s="23">
        <f>(2604.8*6*0.1)+(2604.8*6*0.11)</f>
        <v>3282.0480000000002</v>
      </c>
      <c r="E72" s="46"/>
      <c r="F72" s="37" t="s">
        <v>1351</v>
      </c>
    </row>
    <row r="73" spans="1:6" ht="12.75" customHeight="1">
      <c r="A73" s="125" t="s">
        <v>1350</v>
      </c>
      <c r="B73" s="126"/>
      <c r="C73" s="127"/>
      <c r="D73" s="76">
        <f>(2604.8*6*1.57)+(2604.8*6*1.75)</f>
        <v>51887.61600000001</v>
      </c>
      <c r="E73" s="48"/>
      <c r="F73" s="14" t="s">
        <v>788</v>
      </c>
    </row>
    <row r="74" spans="1:6" ht="12.75" customHeight="1">
      <c r="A74" s="125" t="s">
        <v>1362</v>
      </c>
      <c r="B74" s="126"/>
      <c r="C74" s="127"/>
      <c r="D74" s="16">
        <f>10.3*(D76+D77)/100</f>
        <v>70038.88863</v>
      </c>
      <c r="E74" s="48"/>
      <c r="F74" s="14" t="s">
        <v>789</v>
      </c>
    </row>
    <row r="75" spans="1:6" ht="12.75" customHeight="1">
      <c r="A75" s="120" t="s">
        <v>1363</v>
      </c>
      <c r="B75" s="121"/>
      <c r="C75" s="122"/>
      <c r="D75" s="41">
        <f>D74+D73+D10+D3</f>
        <v>594082.0746299999</v>
      </c>
      <c r="E75" s="48">
        <v>1</v>
      </c>
      <c r="F75" s="14" t="s">
        <v>790</v>
      </c>
    </row>
    <row r="76" spans="1:6" ht="12.75" customHeight="1">
      <c r="A76" s="114" t="s">
        <v>1364</v>
      </c>
      <c r="B76" s="115"/>
      <c r="C76" s="116"/>
      <c r="D76" s="18">
        <v>593214.73</v>
      </c>
      <c r="E76" s="48">
        <v>2</v>
      </c>
      <c r="F76" s="27"/>
    </row>
    <row r="77" spans="1:6" ht="12.75" customHeight="1">
      <c r="A77" s="114" t="s">
        <v>1365</v>
      </c>
      <c r="B77" s="115"/>
      <c r="C77" s="116"/>
      <c r="D77" s="18">
        <v>86774.48</v>
      </c>
      <c r="E77" s="48">
        <v>3</v>
      </c>
      <c r="F77" s="37" t="s">
        <v>1352</v>
      </c>
    </row>
    <row r="78" spans="1:6" ht="12.75" customHeight="1">
      <c r="A78" s="114" t="s">
        <v>2221</v>
      </c>
      <c r="B78" s="115"/>
      <c r="C78" s="116"/>
      <c r="D78" s="19">
        <f>658663.47+D76+D79</f>
        <v>1307346.88</v>
      </c>
      <c r="E78" s="48">
        <v>4</v>
      </c>
      <c r="F78" s="37" t="s">
        <v>791</v>
      </c>
    </row>
    <row r="79" spans="1:6" ht="12.75" customHeight="1">
      <c r="A79" s="114" t="s">
        <v>607</v>
      </c>
      <c r="B79" s="115"/>
      <c r="C79" s="116"/>
      <c r="D79" s="19">
        <v>55468.68</v>
      </c>
      <c r="E79" s="48"/>
      <c r="F79" s="37"/>
    </row>
    <row r="80" spans="1:6" ht="13.5" customHeight="1">
      <c r="A80" s="114" t="s">
        <v>2222</v>
      </c>
      <c r="B80" s="115"/>
      <c r="C80" s="116"/>
      <c r="D80" s="19">
        <f>506210.64+D86+D81</f>
        <v>1061285.55</v>
      </c>
      <c r="E80" s="48">
        <v>5</v>
      </c>
      <c r="F80" s="14" t="s">
        <v>843</v>
      </c>
    </row>
    <row r="81" spans="1:6" ht="13.5" customHeight="1">
      <c r="A81" s="114" t="s">
        <v>608</v>
      </c>
      <c r="B81" s="115"/>
      <c r="C81" s="116"/>
      <c r="D81" s="19">
        <v>53774.18</v>
      </c>
      <c r="E81" s="48"/>
      <c r="F81" s="14"/>
    </row>
    <row r="82" spans="1:6" ht="25.5" customHeight="1">
      <c r="A82" s="120" t="s">
        <v>2223</v>
      </c>
      <c r="B82" s="121"/>
      <c r="C82" s="122"/>
      <c r="D82" s="42">
        <f>562481.55+D75</f>
        <v>1156563.62463</v>
      </c>
      <c r="E82" s="48">
        <v>6</v>
      </c>
      <c r="F82" s="14" t="s">
        <v>844</v>
      </c>
    </row>
    <row r="83" spans="1:6" ht="12.75" customHeight="1">
      <c r="A83" s="114" t="s">
        <v>2224</v>
      </c>
      <c r="B83" s="115"/>
      <c r="C83" s="116"/>
      <c r="D83" s="19">
        <f>96325.61+D77</f>
        <v>183100.09</v>
      </c>
      <c r="E83" s="48">
        <v>7</v>
      </c>
      <c r="F83" s="14" t="s">
        <v>845</v>
      </c>
    </row>
    <row r="84" spans="1:6" ht="12.75" customHeight="1">
      <c r="A84" s="114" t="s">
        <v>2225</v>
      </c>
      <c r="B84" s="115"/>
      <c r="C84" s="116"/>
      <c r="D84" s="19">
        <f>73995.43+D87</f>
        <v>147324.88</v>
      </c>
      <c r="E84" s="48">
        <v>8</v>
      </c>
      <c r="F84" s="14" t="s">
        <v>787</v>
      </c>
    </row>
    <row r="85" spans="1:6" ht="12.75" customHeight="1">
      <c r="A85" s="120" t="s">
        <v>2226</v>
      </c>
      <c r="B85" s="121"/>
      <c r="C85" s="122"/>
      <c r="D85" s="42">
        <f>458312+D88</f>
        <v>831288</v>
      </c>
      <c r="E85" s="48">
        <v>9</v>
      </c>
      <c r="F85" s="14" t="s">
        <v>846</v>
      </c>
    </row>
    <row r="86" spans="1:6" ht="12.75" customHeight="1">
      <c r="A86" s="114" t="s">
        <v>779</v>
      </c>
      <c r="B86" s="115"/>
      <c r="C86" s="116"/>
      <c r="D86" s="18">
        <v>501300.73</v>
      </c>
      <c r="E86" s="48">
        <v>10</v>
      </c>
      <c r="F86" s="14" t="s">
        <v>847</v>
      </c>
    </row>
    <row r="87" spans="1:6" ht="12.75" customHeight="1">
      <c r="A87" s="114" t="s">
        <v>780</v>
      </c>
      <c r="B87" s="115"/>
      <c r="C87" s="116"/>
      <c r="D87" s="18">
        <v>73329.45</v>
      </c>
      <c r="E87" s="48">
        <v>11</v>
      </c>
      <c r="F87" s="14" t="s">
        <v>848</v>
      </c>
    </row>
    <row r="88" spans="1:6" ht="12.75" customHeight="1">
      <c r="A88" s="140" t="s">
        <v>781</v>
      </c>
      <c r="B88" s="141"/>
      <c r="C88" s="142"/>
      <c r="D88" s="41">
        <f>D69</f>
        <v>372976</v>
      </c>
      <c r="E88" s="48">
        <v>12</v>
      </c>
      <c r="F88" s="43"/>
    </row>
    <row r="89" spans="1:6" ht="27" customHeight="1">
      <c r="A89" s="108" t="s">
        <v>782</v>
      </c>
      <c r="B89" s="109"/>
      <c r="C89" s="110"/>
      <c r="D89" s="26">
        <f>D78-D82</f>
        <v>150783.2553699999</v>
      </c>
      <c r="E89" s="48">
        <v>13</v>
      </c>
      <c r="F89" s="43"/>
    </row>
    <row r="90" spans="1:6" ht="25.5" customHeight="1">
      <c r="A90" s="108" t="s">
        <v>717</v>
      </c>
      <c r="B90" s="145"/>
      <c r="C90" s="110"/>
      <c r="D90" s="26">
        <f>D83-D85</f>
        <v>-648187.91</v>
      </c>
      <c r="E90" s="48">
        <v>14</v>
      </c>
      <c r="F90" s="43"/>
    </row>
    <row r="91" spans="1:6" ht="25.5" customHeight="1">
      <c r="A91" s="108" t="s">
        <v>718</v>
      </c>
      <c r="B91" s="109"/>
      <c r="C91" s="110"/>
      <c r="D91" s="26">
        <f>D80-D82</f>
        <v>-95278.07462999993</v>
      </c>
      <c r="E91" s="48">
        <v>15</v>
      </c>
      <c r="F91" s="43"/>
    </row>
    <row r="92" ht="12.75">
      <c r="F92" s="43"/>
    </row>
  </sheetData>
  <sheetProtection/>
  <mergeCells count="32">
    <mergeCell ref="A8:C8"/>
    <mergeCell ref="A10:C10"/>
    <mergeCell ref="A11:C11"/>
    <mergeCell ref="A63:C63"/>
    <mergeCell ref="A82:C82"/>
    <mergeCell ref="A1:D1"/>
    <mergeCell ref="A40:C40"/>
    <mergeCell ref="A53:C53"/>
    <mergeCell ref="A81:C81"/>
    <mergeCell ref="A36:C36"/>
    <mergeCell ref="A38:C38"/>
    <mergeCell ref="A3:C3"/>
    <mergeCell ref="A4:C4"/>
    <mergeCell ref="A80:C80"/>
    <mergeCell ref="A83:C83"/>
    <mergeCell ref="A67:C67"/>
    <mergeCell ref="A77:C77"/>
    <mergeCell ref="A78:C78"/>
    <mergeCell ref="A69:C69"/>
    <mergeCell ref="A73:C73"/>
    <mergeCell ref="A74:C74"/>
    <mergeCell ref="A75:C75"/>
    <mergeCell ref="A79:C79"/>
    <mergeCell ref="A76:C76"/>
    <mergeCell ref="A91:C91"/>
    <mergeCell ref="A84:C84"/>
    <mergeCell ref="A85:C85"/>
    <mergeCell ref="A86:C86"/>
    <mergeCell ref="A87:C87"/>
    <mergeCell ref="A88:C88"/>
    <mergeCell ref="A89:C89"/>
    <mergeCell ref="A90:C90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80" sqref="A1:D80"/>
    </sheetView>
  </sheetViews>
  <sheetFormatPr defaultColWidth="13.421875" defaultRowHeight="12.75" outlineLevelRow="2"/>
  <cols>
    <col min="1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8.5" customHeight="1" thickBot="1">
      <c r="A1" s="135" t="s">
        <v>1587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31040</v>
      </c>
      <c r="E3" s="45"/>
    </row>
    <row r="4" spans="1:5" ht="12.75" outlineLevel="1">
      <c r="A4" s="117" t="s">
        <v>1354</v>
      </c>
      <c r="B4" s="118"/>
      <c r="C4" s="119"/>
      <c r="D4" s="28">
        <f>SUM(D5:D5)</f>
        <v>31040</v>
      </c>
      <c r="E4" s="46"/>
    </row>
    <row r="5" spans="1:5" ht="12.75" outlineLevel="2">
      <c r="A5" s="50" t="s">
        <v>990</v>
      </c>
      <c r="B5" s="29" t="s">
        <v>1955</v>
      </c>
      <c r="C5" s="13" t="s">
        <v>991</v>
      </c>
      <c r="D5" s="30">
        <v>31040</v>
      </c>
      <c r="E5" s="46"/>
    </row>
    <row r="6" spans="1:5" ht="13.5" customHeight="1" thickBot="1">
      <c r="A6" s="124" t="s">
        <v>1343</v>
      </c>
      <c r="B6" s="124"/>
      <c r="C6" s="124"/>
      <c r="D6" s="25">
        <f>D7+D26+D28+D41+D47+D56+D60+D61</f>
        <v>341199.73</v>
      </c>
      <c r="E6" s="45"/>
    </row>
    <row r="7" spans="1:5" ht="13.5" outlineLevel="1" thickTop="1">
      <c r="A7" s="111" t="s">
        <v>1354</v>
      </c>
      <c r="B7" s="112"/>
      <c r="C7" s="113"/>
      <c r="D7" s="28">
        <f>SUM(D8:D25)</f>
        <v>33195.600000000006</v>
      </c>
      <c r="E7" s="46"/>
    </row>
    <row r="8" spans="1:5" ht="12.75" outlineLevel="2">
      <c r="A8" s="7" t="s">
        <v>1744</v>
      </c>
      <c r="B8" s="29" t="s">
        <v>849</v>
      </c>
      <c r="C8" s="7" t="s">
        <v>1746</v>
      </c>
      <c r="D8" s="30">
        <v>374</v>
      </c>
      <c r="E8" s="46"/>
    </row>
    <row r="9" spans="1:5" ht="12.75" outlineLevel="2">
      <c r="A9" s="7" t="s">
        <v>1744</v>
      </c>
      <c r="B9" s="29" t="s">
        <v>849</v>
      </c>
      <c r="C9" s="7" t="s">
        <v>1750</v>
      </c>
      <c r="D9" s="30">
        <v>1012</v>
      </c>
      <c r="E9" s="46"/>
    </row>
    <row r="10" spans="1:5" ht="12.75" outlineLevel="2">
      <c r="A10" s="7" t="s">
        <v>109</v>
      </c>
      <c r="B10" s="29" t="s">
        <v>1951</v>
      </c>
      <c r="C10" s="7" t="s">
        <v>110</v>
      </c>
      <c r="D10" s="30">
        <v>305</v>
      </c>
      <c r="E10" s="46"/>
    </row>
    <row r="11" spans="1:5" ht="12.75" outlineLevel="2">
      <c r="A11" s="7" t="s">
        <v>1686</v>
      </c>
      <c r="B11" s="29" t="s">
        <v>1952</v>
      </c>
      <c r="C11" s="7" t="s">
        <v>1688</v>
      </c>
      <c r="D11" s="30">
        <v>534</v>
      </c>
      <c r="E11" s="46"/>
    </row>
    <row r="12" spans="1:5" ht="12.75" outlineLevel="2">
      <c r="A12" s="7" t="s">
        <v>485</v>
      </c>
      <c r="B12" s="29" t="s">
        <v>1952</v>
      </c>
      <c r="C12" s="7" t="s">
        <v>486</v>
      </c>
      <c r="D12" s="30">
        <v>1399</v>
      </c>
      <c r="E12" s="46"/>
    </row>
    <row r="13" spans="1:5" ht="12.75" outlineLevel="2">
      <c r="A13" s="7" t="s">
        <v>2343</v>
      </c>
      <c r="B13" s="29" t="s">
        <v>1953</v>
      </c>
      <c r="C13" s="7" t="s">
        <v>2349</v>
      </c>
      <c r="D13" s="30">
        <v>1378</v>
      </c>
      <c r="E13" s="46"/>
    </row>
    <row r="14" spans="1:5" ht="12.75" outlineLevel="2">
      <c r="A14" s="7" t="s">
        <v>2350</v>
      </c>
      <c r="B14" s="29" t="s">
        <v>1953</v>
      </c>
      <c r="C14" s="7" t="s">
        <v>2351</v>
      </c>
      <c r="D14" s="30">
        <v>7892</v>
      </c>
      <c r="E14" s="46"/>
    </row>
    <row r="15" spans="1:5" ht="12.75" outlineLevel="2">
      <c r="A15" s="7" t="s">
        <v>2328</v>
      </c>
      <c r="B15" s="29" t="s">
        <v>1953</v>
      </c>
      <c r="C15" s="7" t="s">
        <v>1297</v>
      </c>
      <c r="D15" s="30">
        <v>284.1</v>
      </c>
      <c r="E15" s="46"/>
    </row>
    <row r="16" spans="1:5" ht="12.75" outlineLevel="2">
      <c r="A16" s="8" t="s">
        <v>575</v>
      </c>
      <c r="B16" s="29" t="s">
        <v>1954</v>
      </c>
      <c r="C16" s="7" t="s">
        <v>559</v>
      </c>
      <c r="D16" s="30">
        <v>140.83</v>
      </c>
      <c r="E16" s="46"/>
    </row>
    <row r="17" spans="1:5" ht="12.75" outlineLevel="2">
      <c r="A17" s="8" t="s">
        <v>2789</v>
      </c>
      <c r="B17" s="29" t="s">
        <v>1954</v>
      </c>
      <c r="C17" s="8" t="s">
        <v>1328</v>
      </c>
      <c r="D17" s="31">
        <v>568.2</v>
      </c>
      <c r="E17" s="46"/>
    </row>
    <row r="18" spans="1:5" ht="12.75" outlineLevel="2">
      <c r="A18" s="7" t="s">
        <v>376</v>
      </c>
      <c r="B18" s="29" t="s">
        <v>1955</v>
      </c>
      <c r="C18" s="7" t="s">
        <v>374</v>
      </c>
      <c r="D18" s="30">
        <v>94.7</v>
      </c>
      <c r="E18" s="46"/>
    </row>
    <row r="19" spans="1:5" ht="12.75" outlineLevel="2">
      <c r="A19" s="8" t="s">
        <v>1205</v>
      </c>
      <c r="B19" s="29" t="s">
        <v>1957</v>
      </c>
      <c r="C19" s="8" t="s">
        <v>1206</v>
      </c>
      <c r="D19" s="31">
        <v>5326</v>
      </c>
      <c r="E19" s="46"/>
    </row>
    <row r="20" spans="1:5" ht="12.75" outlineLevel="2">
      <c r="A20" s="8" t="s">
        <v>1824</v>
      </c>
      <c r="B20" s="29" t="s">
        <v>1958</v>
      </c>
      <c r="C20" s="8" t="s">
        <v>1823</v>
      </c>
      <c r="D20" s="31">
        <v>386.16</v>
      </c>
      <c r="E20" s="46"/>
    </row>
    <row r="21" spans="1:5" ht="12.75" outlineLevel="2">
      <c r="A21" s="8" t="s">
        <v>1152</v>
      </c>
      <c r="B21" s="29" t="s">
        <v>1959</v>
      </c>
      <c r="C21" s="7" t="s">
        <v>2727</v>
      </c>
      <c r="D21" s="31">
        <v>4002.97</v>
      </c>
      <c r="E21" s="46"/>
    </row>
    <row r="22" spans="1:5" ht="12.75" outlineLevel="2">
      <c r="A22" s="8" t="s">
        <v>270</v>
      </c>
      <c r="B22" s="29" t="s">
        <v>1960</v>
      </c>
      <c r="C22" s="8" t="s">
        <v>271</v>
      </c>
      <c r="D22" s="31">
        <v>1640.44</v>
      </c>
      <c r="E22" s="46"/>
    </row>
    <row r="23" spans="1:5" ht="12.75" outlineLevel="2">
      <c r="A23" s="8" t="s">
        <v>196</v>
      </c>
      <c r="B23" s="29" t="s">
        <v>1960</v>
      </c>
      <c r="C23" s="8" t="s">
        <v>870</v>
      </c>
      <c r="D23" s="31">
        <v>3828</v>
      </c>
      <c r="E23" s="46"/>
    </row>
    <row r="24" spans="1:5" ht="12.75" outlineLevel="2">
      <c r="A24" s="8" t="s">
        <v>922</v>
      </c>
      <c r="B24" s="29" t="s">
        <v>1960</v>
      </c>
      <c r="C24" s="8" t="s">
        <v>917</v>
      </c>
      <c r="D24" s="31">
        <v>3409.2</v>
      </c>
      <c r="E24" s="46"/>
    </row>
    <row r="25" spans="1:5" ht="12.75" customHeight="1" outlineLevel="2">
      <c r="A25" s="55" t="s">
        <v>1408</v>
      </c>
      <c r="B25" s="52" t="s">
        <v>1961</v>
      </c>
      <c r="C25" s="55" t="s">
        <v>1409</v>
      </c>
      <c r="D25" s="31">
        <v>621</v>
      </c>
      <c r="E25" s="46"/>
    </row>
    <row r="26" spans="1:5" ht="12.75" outlineLevel="1">
      <c r="A26" s="117" t="s">
        <v>1342</v>
      </c>
      <c r="B26" s="118"/>
      <c r="C26" s="119"/>
      <c r="D26" s="28">
        <f>SUM(D27:D27)</f>
        <v>24777</v>
      </c>
      <c r="E26" s="46"/>
    </row>
    <row r="27" spans="1:5" ht="12.75" outlineLevel="2">
      <c r="A27" s="7" t="s">
        <v>1221</v>
      </c>
      <c r="B27" s="29" t="s">
        <v>1957</v>
      </c>
      <c r="C27" s="7" t="s">
        <v>1220</v>
      </c>
      <c r="D27" s="30">
        <v>24777</v>
      </c>
      <c r="E27" s="46"/>
    </row>
    <row r="28" spans="1:5" ht="12.75" outlineLevel="1">
      <c r="A28" s="117" t="s">
        <v>1344</v>
      </c>
      <c r="B28" s="118"/>
      <c r="C28" s="119"/>
      <c r="D28" s="28">
        <f>SUM(D29:D40)</f>
        <v>169269.20999999996</v>
      </c>
      <c r="E28" s="46"/>
    </row>
    <row r="29" spans="1:5" ht="12.75" outlineLevel="2">
      <c r="A29" s="7"/>
      <c r="B29" s="29" t="s">
        <v>849</v>
      </c>
      <c r="C29" s="7" t="s">
        <v>1950</v>
      </c>
      <c r="D29" s="30">
        <f>3137.25+2740.13+1628.19+3852.06+1667.9+1032.51</f>
        <v>14058.039999999999</v>
      </c>
      <c r="E29" s="46"/>
    </row>
    <row r="30" spans="1:5" ht="12.75" outlineLevel="2">
      <c r="A30" s="7"/>
      <c r="B30" s="29" t="s">
        <v>1951</v>
      </c>
      <c r="C30" s="7" t="s">
        <v>1950</v>
      </c>
      <c r="D30" s="30">
        <f>3137.25+2740.13+1628.19+3852.06+1667.9+1032.51</f>
        <v>14058.039999999999</v>
      </c>
      <c r="E30" s="46"/>
    </row>
    <row r="31" spans="1:5" ht="12.75" outlineLevel="2">
      <c r="A31" s="7"/>
      <c r="B31" s="29" t="s">
        <v>1952</v>
      </c>
      <c r="C31" s="7" t="s">
        <v>1950</v>
      </c>
      <c r="D31" s="30">
        <f>3137.25+2740.13+1628.19+3852.06+1667.9+1032.51+214.44</f>
        <v>14272.48</v>
      </c>
      <c r="E31" s="46"/>
    </row>
    <row r="32" spans="1:5" ht="12.75" outlineLevel="2">
      <c r="A32" s="7"/>
      <c r="B32" s="29" t="s">
        <v>1953</v>
      </c>
      <c r="C32" s="7" t="s">
        <v>1950</v>
      </c>
      <c r="D32" s="30">
        <f>3137.25+2422.43+5480.26+1588.48+1032.51+204.91</f>
        <v>13865.84</v>
      </c>
      <c r="E32" s="46"/>
    </row>
    <row r="33" spans="1:5" ht="12.75" outlineLevel="2">
      <c r="A33" s="7"/>
      <c r="B33" s="29" t="s">
        <v>1954</v>
      </c>
      <c r="C33" s="7" t="s">
        <v>1950</v>
      </c>
      <c r="D33" s="30">
        <f>3137.25+2104.74+5400.83+1469.34+992.8+214.44</f>
        <v>13319.4</v>
      </c>
      <c r="E33" s="46"/>
    </row>
    <row r="34" spans="1:5" ht="12.75" outlineLevel="2">
      <c r="A34" s="7"/>
      <c r="B34" s="29" t="s">
        <v>1955</v>
      </c>
      <c r="C34" s="7" t="s">
        <v>1950</v>
      </c>
      <c r="D34" s="30">
        <f>1568.62+1052.37+2740.13+734.67+496.4</f>
        <v>6592.19</v>
      </c>
      <c r="E34" s="46"/>
    </row>
    <row r="35" spans="1:5" ht="12.75" outlineLevel="2">
      <c r="A35" s="7"/>
      <c r="B35" s="29" t="s">
        <v>1956</v>
      </c>
      <c r="C35" s="7" t="s">
        <v>1950</v>
      </c>
      <c r="D35" s="30">
        <f>3494.66+2343.01+6115.65+1628.19+1111.94</f>
        <v>14693.45</v>
      </c>
      <c r="E35" s="46"/>
    </row>
    <row r="36" spans="1:5" ht="12.75" outlineLevel="2">
      <c r="A36" s="7"/>
      <c r="B36" s="29" t="s">
        <v>1957</v>
      </c>
      <c r="C36" s="7" t="s">
        <v>1950</v>
      </c>
      <c r="D36" s="30">
        <f>3494.66+2343.01+6115.65+128.19+1111.94+1651.22</f>
        <v>14844.67</v>
      </c>
      <c r="E36" s="46"/>
    </row>
    <row r="37" spans="1:5" ht="12.75" outlineLevel="2">
      <c r="A37" s="7"/>
      <c r="B37" s="29" t="s">
        <v>1958</v>
      </c>
      <c r="C37" s="7" t="s">
        <v>1950</v>
      </c>
      <c r="D37" s="30">
        <f>3494.66+2343.01+6115.65+1628.65+1628.19+1111.94+2501.86</f>
        <v>18823.96</v>
      </c>
      <c r="E37" s="46"/>
    </row>
    <row r="38" spans="1:5" ht="12.75" outlineLevel="2">
      <c r="A38" s="7"/>
      <c r="B38" s="29" t="s">
        <v>1959</v>
      </c>
      <c r="C38" s="7" t="s">
        <v>1950</v>
      </c>
      <c r="D38" s="30">
        <f>3494.66+2343.01+6115.65+1628.19+478.13</f>
        <v>14059.64</v>
      </c>
      <c r="E38" s="46"/>
    </row>
    <row r="39" spans="1:5" ht="12.75" outlineLevel="2">
      <c r="A39" s="7"/>
      <c r="B39" s="29" t="s">
        <v>1960</v>
      </c>
      <c r="C39" s="7" t="s">
        <v>1950</v>
      </c>
      <c r="D39" s="30">
        <f>3494.66+3057.82+1826.75+4288.9+1866.46+1111.94</f>
        <v>15646.53</v>
      </c>
      <c r="E39" s="46"/>
    </row>
    <row r="40" spans="1:5" ht="12.75" outlineLevel="2">
      <c r="A40" s="11"/>
      <c r="B40" s="29" t="s">
        <v>1961</v>
      </c>
      <c r="C40" s="7" t="s">
        <v>1950</v>
      </c>
      <c r="D40" s="30">
        <f>3494.66+2446.26+1826.75+4288.9+1866.46+1111.94</f>
        <v>15034.97</v>
      </c>
      <c r="E40" s="46"/>
    </row>
    <row r="41" spans="1:5" ht="12.75" outlineLevel="1">
      <c r="A41" s="117" t="s">
        <v>1346</v>
      </c>
      <c r="B41" s="118"/>
      <c r="C41" s="119"/>
      <c r="D41" s="28">
        <f>SUM(D42:D46)</f>
        <v>7997.75</v>
      </c>
      <c r="E41" s="46"/>
    </row>
    <row r="42" spans="1:5" ht="12.75" outlineLevel="2">
      <c r="A42" s="7" t="s">
        <v>1976</v>
      </c>
      <c r="B42" s="29" t="s">
        <v>849</v>
      </c>
      <c r="C42" s="7" t="s">
        <v>1975</v>
      </c>
      <c r="D42" s="30">
        <v>731.25</v>
      </c>
      <c r="E42" s="46"/>
    </row>
    <row r="43" spans="1:5" ht="12.75" outlineLevel="2">
      <c r="A43" s="7" t="s">
        <v>710</v>
      </c>
      <c r="B43" s="29" t="s">
        <v>1957</v>
      </c>
      <c r="C43" s="7" t="s">
        <v>709</v>
      </c>
      <c r="D43" s="30">
        <v>5200</v>
      </c>
      <c r="E43" s="46"/>
    </row>
    <row r="44" spans="1:5" ht="12.75" outlineLevel="2">
      <c r="A44" s="7" t="s">
        <v>711</v>
      </c>
      <c r="B44" s="29" t="s">
        <v>1957</v>
      </c>
      <c r="C44" s="7" t="s">
        <v>709</v>
      </c>
      <c r="D44" s="30">
        <v>539</v>
      </c>
      <c r="E44" s="46"/>
    </row>
    <row r="45" spans="1:5" ht="12.75" outlineLevel="2">
      <c r="A45" s="7" t="s">
        <v>1704</v>
      </c>
      <c r="B45" s="29" t="s">
        <v>1957</v>
      </c>
      <c r="C45" s="7" t="s">
        <v>1705</v>
      </c>
      <c r="D45" s="30">
        <v>523</v>
      </c>
      <c r="E45" s="46"/>
    </row>
    <row r="46" spans="1:5" ht="12.75" outlineLevel="2">
      <c r="A46" s="51" t="s">
        <v>220</v>
      </c>
      <c r="B46" s="52" t="s">
        <v>1961</v>
      </c>
      <c r="C46" s="51" t="s">
        <v>221</v>
      </c>
      <c r="D46" s="30">
        <v>1004.5</v>
      </c>
      <c r="E46" s="46"/>
    </row>
    <row r="47" spans="1:5" ht="12.75" outlineLevel="1">
      <c r="A47" s="117" t="s">
        <v>1341</v>
      </c>
      <c r="B47" s="118"/>
      <c r="C47" s="119"/>
      <c r="D47" s="28">
        <f>SUM(D48:D55)</f>
        <v>9052.67</v>
      </c>
      <c r="E47" s="46"/>
    </row>
    <row r="48" spans="1:5" ht="12.75" outlineLevel="2">
      <c r="A48" s="7" t="s">
        <v>1719</v>
      </c>
      <c r="B48" s="29" t="s">
        <v>849</v>
      </c>
      <c r="C48" s="7" t="s">
        <v>1720</v>
      </c>
      <c r="D48" s="30">
        <v>1158</v>
      </c>
      <c r="E48" s="46"/>
    </row>
    <row r="49" spans="1:5" ht="12.75" outlineLevel="2">
      <c r="A49" s="7" t="s">
        <v>514</v>
      </c>
      <c r="B49" s="29" t="s">
        <v>1952</v>
      </c>
      <c r="C49" s="7" t="s">
        <v>515</v>
      </c>
      <c r="D49" s="30">
        <v>490</v>
      </c>
      <c r="E49" s="46"/>
    </row>
    <row r="50" spans="1:5" ht="12.75" outlineLevel="2">
      <c r="A50" s="7" t="s">
        <v>522</v>
      </c>
      <c r="B50" s="29" t="s">
        <v>1952</v>
      </c>
      <c r="C50" s="7" t="s">
        <v>523</v>
      </c>
      <c r="D50" s="30">
        <v>598</v>
      </c>
      <c r="E50" s="46"/>
    </row>
    <row r="51" spans="1:5" ht="12.75" outlineLevel="2">
      <c r="A51" s="7" t="s">
        <v>531</v>
      </c>
      <c r="B51" s="29" t="s">
        <v>1952</v>
      </c>
      <c r="C51" s="7" t="s">
        <v>532</v>
      </c>
      <c r="D51" s="30">
        <v>4304</v>
      </c>
      <c r="E51" s="46"/>
    </row>
    <row r="52" spans="1:5" ht="12.75" outlineLevel="2">
      <c r="A52" s="7" t="s">
        <v>2470</v>
      </c>
      <c r="B52" s="29" t="s">
        <v>1953</v>
      </c>
      <c r="C52" s="7" t="s">
        <v>2472</v>
      </c>
      <c r="D52" s="30">
        <v>872</v>
      </c>
      <c r="E52" s="46"/>
    </row>
    <row r="53" spans="1:5" ht="12.75" outlineLevel="2">
      <c r="A53" s="7" t="s">
        <v>1053</v>
      </c>
      <c r="B53" s="29" t="s">
        <v>1955</v>
      </c>
      <c r="C53" s="7" t="s">
        <v>1054</v>
      </c>
      <c r="D53" s="30">
        <v>806</v>
      </c>
      <c r="E53" s="46"/>
    </row>
    <row r="54" spans="1:5" ht="12.75" outlineLevel="2">
      <c r="A54" s="7" t="s">
        <v>2431</v>
      </c>
      <c r="B54" s="29" t="s">
        <v>1959</v>
      </c>
      <c r="C54" s="7" t="s">
        <v>2432</v>
      </c>
      <c r="D54" s="30">
        <v>472.79</v>
      </c>
      <c r="E54" s="46"/>
    </row>
    <row r="55" spans="1:5" ht="12.75" outlineLevel="2">
      <c r="A55" s="7" t="s">
        <v>218</v>
      </c>
      <c r="B55" s="29" t="s">
        <v>1961</v>
      </c>
      <c r="C55" s="7" t="s">
        <v>1387</v>
      </c>
      <c r="D55" s="30">
        <v>351.88</v>
      </c>
      <c r="E55" s="46"/>
    </row>
    <row r="56" spans="1:5" ht="12.75">
      <c r="A56" s="117" t="s">
        <v>1348</v>
      </c>
      <c r="B56" s="118"/>
      <c r="C56" s="119"/>
      <c r="D56" s="32">
        <f>D57+D58+D59</f>
        <v>18252</v>
      </c>
      <c r="E56" s="46"/>
    </row>
    <row r="57" spans="1:5" ht="12.75" outlineLevel="2">
      <c r="A57" s="7" t="s">
        <v>1312</v>
      </c>
      <c r="B57" s="29" t="s">
        <v>1953</v>
      </c>
      <c r="C57" s="7" t="s">
        <v>1311</v>
      </c>
      <c r="D57" s="30">
        <v>6084</v>
      </c>
      <c r="E57" s="46"/>
    </row>
    <row r="58" spans="1:5" ht="12.75" outlineLevel="2">
      <c r="A58" s="7" t="s">
        <v>416</v>
      </c>
      <c r="B58" s="29" t="s">
        <v>1957</v>
      </c>
      <c r="C58" s="7" t="s">
        <v>417</v>
      </c>
      <c r="D58" s="30">
        <v>6084</v>
      </c>
      <c r="E58" s="46"/>
    </row>
    <row r="59" spans="1:5" ht="12.75" outlineLevel="2">
      <c r="A59" s="7" t="s">
        <v>420</v>
      </c>
      <c r="B59" s="29" t="s">
        <v>1957</v>
      </c>
      <c r="C59" s="7" t="s">
        <v>421</v>
      </c>
      <c r="D59" s="30">
        <v>6084</v>
      </c>
      <c r="E59" s="46"/>
    </row>
    <row r="60" spans="1:6" ht="12.75">
      <c r="A60" s="6">
        <v>3972.5</v>
      </c>
      <c r="B60" s="6" t="s">
        <v>1356</v>
      </c>
      <c r="C60" s="37" t="s">
        <v>1345</v>
      </c>
      <c r="D60" s="23">
        <f>(3972.5*6*1.46)+(3972.5*6*1.63)</f>
        <v>73650.15</v>
      </c>
      <c r="E60" s="46"/>
      <c r="F60" s="37" t="s">
        <v>1352</v>
      </c>
    </row>
    <row r="61" spans="1:6" ht="12.75">
      <c r="A61" s="6">
        <v>3972.5</v>
      </c>
      <c r="B61" s="6" t="s">
        <v>1356</v>
      </c>
      <c r="C61" s="37" t="s">
        <v>1357</v>
      </c>
      <c r="D61" s="23">
        <f>(3972.5*6*0.1)+(3972.5*6*0.11)</f>
        <v>5005.35</v>
      </c>
      <c r="E61" s="46"/>
      <c r="F61" s="37" t="s">
        <v>1351</v>
      </c>
    </row>
    <row r="62" spans="1:6" ht="12.75" customHeight="1">
      <c r="A62" s="125" t="s">
        <v>1350</v>
      </c>
      <c r="B62" s="126"/>
      <c r="C62" s="127"/>
      <c r="D62" s="76">
        <f>(3972.5*6*1.57)+(3972.5*6*1.75)</f>
        <v>79132.20000000001</v>
      </c>
      <c r="E62" s="48"/>
      <c r="F62" s="14" t="s">
        <v>788</v>
      </c>
    </row>
    <row r="63" spans="1:6" ht="12.75" customHeight="1">
      <c r="A63" s="125" t="s">
        <v>1362</v>
      </c>
      <c r="B63" s="126"/>
      <c r="C63" s="127"/>
      <c r="D63" s="16">
        <f>10.3*(D65+D66)/100</f>
        <v>105588.79170000002</v>
      </c>
      <c r="E63" s="48"/>
      <c r="F63" s="14" t="s">
        <v>789</v>
      </c>
    </row>
    <row r="64" spans="1:6" ht="12.75" customHeight="1">
      <c r="A64" s="120" t="s">
        <v>1363</v>
      </c>
      <c r="B64" s="121"/>
      <c r="C64" s="122"/>
      <c r="D64" s="41">
        <f>D63+D62+D6+D3</f>
        <v>556960.7217</v>
      </c>
      <c r="E64" s="48">
        <v>1</v>
      </c>
      <c r="F64" s="14" t="s">
        <v>790</v>
      </c>
    </row>
    <row r="65" spans="1:6" ht="12.75" customHeight="1">
      <c r="A65" s="114" t="s">
        <v>1364</v>
      </c>
      <c r="B65" s="115"/>
      <c r="C65" s="116"/>
      <c r="D65" s="18">
        <v>894201.63</v>
      </c>
      <c r="E65" s="48">
        <v>2</v>
      </c>
      <c r="F65" s="27"/>
    </row>
    <row r="66" spans="1:6" ht="12.75" customHeight="1">
      <c r="A66" s="114" t="s">
        <v>1365</v>
      </c>
      <c r="B66" s="115"/>
      <c r="C66" s="116"/>
      <c r="D66" s="18">
        <v>130932.27</v>
      </c>
      <c r="E66" s="48">
        <v>3</v>
      </c>
      <c r="F66" s="37" t="s">
        <v>1352</v>
      </c>
    </row>
    <row r="67" spans="1:6" ht="12.75" customHeight="1">
      <c r="A67" s="114" t="s">
        <v>2221</v>
      </c>
      <c r="B67" s="115"/>
      <c r="C67" s="116"/>
      <c r="D67" s="19">
        <f>658663.47+D65+D68</f>
        <v>1614799.6400000001</v>
      </c>
      <c r="E67" s="48">
        <v>4</v>
      </c>
      <c r="F67" s="37" t="s">
        <v>791</v>
      </c>
    </row>
    <row r="68" spans="1:6" ht="25.5" customHeight="1">
      <c r="A68" s="114" t="s">
        <v>629</v>
      </c>
      <c r="B68" s="115"/>
      <c r="C68" s="116"/>
      <c r="D68" s="19">
        <v>61934.54</v>
      </c>
      <c r="E68" s="48"/>
      <c r="F68" s="37"/>
    </row>
    <row r="69" spans="1:6" ht="13.5" customHeight="1">
      <c r="A69" s="114" t="s">
        <v>2222</v>
      </c>
      <c r="B69" s="115"/>
      <c r="C69" s="116"/>
      <c r="D69" s="19">
        <f>506211.6+D75+D70</f>
        <v>1319438.06</v>
      </c>
      <c r="E69" s="48">
        <v>5</v>
      </c>
      <c r="F69" s="14" t="s">
        <v>843</v>
      </c>
    </row>
    <row r="70" spans="1:6" ht="29.25" customHeight="1">
      <c r="A70" s="114" t="s">
        <v>630</v>
      </c>
      <c r="B70" s="115"/>
      <c r="C70" s="116"/>
      <c r="D70" s="19">
        <v>47997.98</v>
      </c>
      <c r="E70" s="48"/>
      <c r="F70" s="14"/>
    </row>
    <row r="71" spans="1:6" ht="25.5" customHeight="1">
      <c r="A71" s="120" t="s">
        <v>2223</v>
      </c>
      <c r="B71" s="121"/>
      <c r="C71" s="122"/>
      <c r="D71" s="42">
        <f>720036.18+D64</f>
        <v>1276996.9017</v>
      </c>
      <c r="E71" s="48">
        <v>6</v>
      </c>
      <c r="F71" s="14" t="s">
        <v>844</v>
      </c>
    </row>
    <row r="72" spans="1:6" ht="12.75" customHeight="1">
      <c r="A72" s="114" t="s">
        <v>2224</v>
      </c>
      <c r="B72" s="115"/>
      <c r="C72" s="116"/>
      <c r="D72" s="19">
        <f>150472.9+D66</f>
        <v>281405.17</v>
      </c>
      <c r="E72" s="48">
        <v>7</v>
      </c>
      <c r="F72" s="14" t="s">
        <v>845</v>
      </c>
    </row>
    <row r="73" spans="1:6" ht="12.75" customHeight="1">
      <c r="A73" s="114" t="s">
        <v>2225</v>
      </c>
      <c r="B73" s="115"/>
      <c r="C73" s="116"/>
      <c r="D73" s="19">
        <f>112678.9+D76</f>
        <v>224726.45</v>
      </c>
      <c r="E73" s="48">
        <v>8</v>
      </c>
      <c r="F73" s="14" t="s">
        <v>787</v>
      </c>
    </row>
    <row r="74" spans="1:6" ht="12.75" customHeight="1">
      <c r="A74" s="120" t="s">
        <v>2226</v>
      </c>
      <c r="B74" s="121"/>
      <c r="C74" s="122"/>
      <c r="D74" s="42">
        <v>0</v>
      </c>
      <c r="E74" s="48">
        <v>9</v>
      </c>
      <c r="F74" s="14" t="s">
        <v>846</v>
      </c>
    </row>
    <row r="75" spans="1:6" ht="12.75" customHeight="1">
      <c r="A75" s="114" t="s">
        <v>779</v>
      </c>
      <c r="B75" s="115"/>
      <c r="C75" s="116"/>
      <c r="D75" s="18">
        <v>765228.48</v>
      </c>
      <c r="E75" s="48">
        <v>10</v>
      </c>
      <c r="F75" s="14" t="s">
        <v>847</v>
      </c>
    </row>
    <row r="76" spans="1:6" ht="12.75" customHeight="1">
      <c r="A76" s="114" t="s">
        <v>780</v>
      </c>
      <c r="B76" s="115"/>
      <c r="C76" s="116"/>
      <c r="D76" s="18">
        <v>112047.55</v>
      </c>
      <c r="E76" s="48">
        <v>11</v>
      </c>
      <c r="F76" s="14" t="s">
        <v>848</v>
      </c>
    </row>
    <row r="77" spans="1:6" ht="12.75" customHeight="1">
      <c r="A77" s="120" t="s">
        <v>781</v>
      </c>
      <c r="B77" s="121"/>
      <c r="C77" s="122"/>
      <c r="D77" s="41">
        <v>0</v>
      </c>
      <c r="E77" s="48">
        <v>12</v>
      </c>
      <c r="F77" s="43"/>
    </row>
    <row r="78" spans="1:6" ht="27" customHeight="1">
      <c r="A78" s="108" t="s">
        <v>782</v>
      </c>
      <c r="B78" s="109"/>
      <c r="C78" s="110"/>
      <c r="D78" s="26">
        <f>D67-D71</f>
        <v>337802.7383000001</v>
      </c>
      <c r="E78" s="48">
        <v>13</v>
      </c>
      <c r="F78" s="43"/>
    </row>
    <row r="79" spans="1:6" ht="25.5" customHeight="1">
      <c r="A79" s="108" t="s">
        <v>783</v>
      </c>
      <c r="B79" s="109"/>
      <c r="C79" s="110"/>
      <c r="D79" s="26">
        <f>D72-D74</f>
        <v>281405.17</v>
      </c>
      <c r="E79" s="48">
        <v>14</v>
      </c>
      <c r="F79" s="43"/>
    </row>
    <row r="80" spans="1:6" ht="25.5" customHeight="1">
      <c r="A80" s="108" t="s">
        <v>718</v>
      </c>
      <c r="B80" s="109"/>
      <c r="C80" s="110"/>
      <c r="D80" s="26">
        <f>D69-D71</f>
        <v>42441.15830000001</v>
      </c>
      <c r="E80" s="48">
        <v>15</v>
      </c>
      <c r="F80" s="43"/>
    </row>
    <row r="81" ht="12.75">
      <c r="F81" s="43"/>
    </row>
  </sheetData>
  <sheetProtection/>
  <mergeCells count="29">
    <mergeCell ref="A26:C26"/>
    <mergeCell ref="A3:C3"/>
    <mergeCell ref="A4:C4"/>
    <mergeCell ref="A6:C6"/>
    <mergeCell ref="A7:C7"/>
    <mergeCell ref="A70:C70"/>
    <mergeCell ref="A28:C28"/>
    <mergeCell ref="A41:C41"/>
    <mergeCell ref="A47:C47"/>
    <mergeCell ref="A72:C72"/>
    <mergeCell ref="A56:C56"/>
    <mergeCell ref="A62:C62"/>
    <mergeCell ref="A63:C63"/>
    <mergeCell ref="A64:C64"/>
    <mergeCell ref="A65:C65"/>
    <mergeCell ref="A66:C66"/>
    <mergeCell ref="A69:C69"/>
    <mergeCell ref="A71:C71"/>
    <mergeCell ref="A68:C68"/>
    <mergeCell ref="A1:D1"/>
    <mergeCell ref="A79:C79"/>
    <mergeCell ref="A80:C80"/>
    <mergeCell ref="A73:C73"/>
    <mergeCell ref="A74:C74"/>
    <mergeCell ref="A75:C75"/>
    <mergeCell ref="A76:C76"/>
    <mergeCell ref="A77:C77"/>
    <mergeCell ref="A78:C78"/>
    <mergeCell ref="A67:C67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9" sqref="A1:D79"/>
    </sheetView>
  </sheetViews>
  <sheetFormatPr defaultColWidth="13.421875" defaultRowHeight="12.75" outlineLevelRow="2"/>
  <cols>
    <col min="1" max="1" width="13.00390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11.421875" style="1" customWidth="1"/>
    <col min="7" max="96" width="12.421875" style="1" customWidth="1"/>
    <col min="97" max="16384" width="13.421875" style="1" customWidth="1"/>
  </cols>
  <sheetData>
    <row r="1" spans="1:4" ht="30" customHeight="1" thickBot="1">
      <c r="A1" s="135" t="s">
        <v>1588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D4+D6</f>
        <v>138860</v>
      </c>
      <c r="E3" s="45"/>
    </row>
    <row r="4" spans="1:5" ht="12.75" outlineLevel="1">
      <c r="A4" s="117" t="s">
        <v>1354</v>
      </c>
      <c r="B4" s="118"/>
      <c r="C4" s="119"/>
      <c r="D4" s="28">
        <f>SUM(D5:D5)</f>
        <v>129399</v>
      </c>
      <c r="E4" s="46"/>
    </row>
    <row r="5" spans="1:5" ht="12.75" outlineLevel="2">
      <c r="A5" s="51" t="s">
        <v>1453</v>
      </c>
      <c r="B5" s="52" t="s">
        <v>1961</v>
      </c>
      <c r="C5" s="63" t="s">
        <v>1454</v>
      </c>
      <c r="D5" s="30">
        <v>129399</v>
      </c>
      <c r="E5" s="46"/>
    </row>
    <row r="6" spans="1:5" ht="12.75" outlineLevel="1">
      <c r="A6" s="117" t="s">
        <v>1355</v>
      </c>
      <c r="B6" s="118"/>
      <c r="C6" s="119"/>
      <c r="D6" s="28">
        <f>SUM(D7:D7)</f>
        <v>9461</v>
      </c>
      <c r="E6" s="46"/>
    </row>
    <row r="7" spans="1:5" ht="12.75" outlineLevel="2">
      <c r="A7" s="51" t="s">
        <v>78</v>
      </c>
      <c r="B7" s="52" t="s">
        <v>1959</v>
      </c>
      <c r="C7" s="63" t="s">
        <v>79</v>
      </c>
      <c r="D7" s="30">
        <v>9461</v>
      </c>
      <c r="E7" s="46"/>
    </row>
    <row r="8" spans="1:5" ht="13.5" customHeight="1" thickBot="1">
      <c r="A8" s="124" t="s">
        <v>1343</v>
      </c>
      <c r="B8" s="124"/>
      <c r="C8" s="124"/>
      <c r="D8" s="25">
        <f>D9+D33+D36+D49+D54+D59+D60</f>
        <v>373608.1200000001</v>
      </c>
      <c r="E8" s="45"/>
    </row>
    <row r="9" spans="1:5" ht="13.5" outlineLevel="1" thickTop="1">
      <c r="A9" s="111" t="s">
        <v>1354</v>
      </c>
      <c r="B9" s="112"/>
      <c r="C9" s="113"/>
      <c r="D9" s="28">
        <f>SUM(D10:D32)</f>
        <v>88254.67000000001</v>
      </c>
      <c r="E9" s="46"/>
    </row>
    <row r="10" spans="1:5" ht="12.75" outlineLevel="2">
      <c r="A10" s="7" t="s">
        <v>1754</v>
      </c>
      <c r="B10" s="29" t="s">
        <v>849</v>
      </c>
      <c r="C10" s="7" t="s">
        <v>1128</v>
      </c>
      <c r="D10" s="30">
        <v>1266</v>
      </c>
      <c r="E10" s="46"/>
    </row>
    <row r="11" spans="1:5" ht="12.75" outlineLevel="2">
      <c r="A11" s="7" t="s">
        <v>1131</v>
      </c>
      <c r="B11" s="29" t="s">
        <v>849</v>
      </c>
      <c r="C11" s="7" t="s">
        <v>1132</v>
      </c>
      <c r="D11" s="30">
        <v>4107</v>
      </c>
      <c r="E11" s="46"/>
    </row>
    <row r="12" spans="1:5" ht="12.75" outlineLevel="2">
      <c r="A12" s="7" t="s">
        <v>1755</v>
      </c>
      <c r="B12" s="29" t="s">
        <v>849</v>
      </c>
      <c r="C12" s="7" t="s">
        <v>1756</v>
      </c>
      <c r="D12" s="30">
        <v>284</v>
      </c>
      <c r="E12" s="46"/>
    </row>
    <row r="13" spans="1:5" ht="12.75" outlineLevel="2">
      <c r="A13" s="7" t="s">
        <v>2160</v>
      </c>
      <c r="B13" s="29" t="s">
        <v>849</v>
      </c>
      <c r="C13" s="7" t="s">
        <v>2154</v>
      </c>
      <c r="D13" s="30">
        <v>360</v>
      </c>
      <c r="E13" s="46"/>
    </row>
    <row r="14" spans="1:5" ht="12.75" outlineLevel="2">
      <c r="A14" s="7" t="s">
        <v>2805</v>
      </c>
      <c r="B14" s="29" t="s">
        <v>1951</v>
      </c>
      <c r="C14" s="7" t="s">
        <v>2806</v>
      </c>
      <c r="D14" s="30">
        <v>864</v>
      </c>
      <c r="E14" s="46"/>
    </row>
    <row r="15" spans="1:5" ht="12.75" outlineLevel="2">
      <c r="A15" s="7" t="s">
        <v>113</v>
      </c>
      <c r="B15" s="29" t="s">
        <v>1951</v>
      </c>
      <c r="C15" s="7" t="s">
        <v>114</v>
      </c>
      <c r="D15" s="30">
        <v>13445</v>
      </c>
      <c r="E15" s="46"/>
    </row>
    <row r="16" spans="1:5" ht="12.75" outlineLevel="2">
      <c r="A16" s="7" t="s">
        <v>1692</v>
      </c>
      <c r="B16" s="29" t="s">
        <v>1952</v>
      </c>
      <c r="C16" s="7" t="s">
        <v>1693</v>
      </c>
      <c r="D16" s="30">
        <v>562</v>
      </c>
      <c r="E16" s="46"/>
    </row>
    <row r="17" spans="1:5" ht="12.75" outlineLevel="2">
      <c r="A17" s="7" t="s">
        <v>2337</v>
      </c>
      <c r="B17" s="29" t="s">
        <v>1953</v>
      </c>
      <c r="C17" s="7" t="s">
        <v>2339</v>
      </c>
      <c r="D17" s="30">
        <v>1672</v>
      </c>
      <c r="E17" s="46"/>
    </row>
    <row r="18" spans="1:5" ht="12.75" outlineLevel="2">
      <c r="A18" s="7" t="s">
        <v>2355</v>
      </c>
      <c r="B18" s="29" t="s">
        <v>1953</v>
      </c>
      <c r="C18" s="7" t="s">
        <v>2356</v>
      </c>
      <c r="D18" s="30">
        <v>17227</v>
      </c>
      <c r="E18" s="46"/>
    </row>
    <row r="19" spans="1:5" ht="12.75" outlineLevel="2">
      <c r="A19" s="7" t="s">
        <v>2409</v>
      </c>
      <c r="B19" s="29" t="s">
        <v>1953</v>
      </c>
      <c r="C19" s="7" t="s">
        <v>2410</v>
      </c>
      <c r="D19" s="30">
        <v>1728</v>
      </c>
      <c r="E19" s="46"/>
    </row>
    <row r="20" spans="1:5" ht="12.75" outlineLevel="2">
      <c r="A20" s="7" t="s">
        <v>1313</v>
      </c>
      <c r="B20" s="29" t="s">
        <v>1953</v>
      </c>
      <c r="C20" s="7" t="s">
        <v>666</v>
      </c>
      <c r="D20" s="30">
        <v>23.22</v>
      </c>
      <c r="E20" s="46"/>
    </row>
    <row r="21" spans="1:5" ht="12.75" outlineLevel="2">
      <c r="A21" s="8" t="s">
        <v>576</v>
      </c>
      <c r="B21" s="29" t="s">
        <v>1954</v>
      </c>
      <c r="C21" s="7" t="s">
        <v>559</v>
      </c>
      <c r="D21" s="30">
        <v>139.3</v>
      </c>
      <c r="E21" s="46"/>
    </row>
    <row r="22" spans="1:5" ht="12.75" outlineLevel="2">
      <c r="A22" s="8" t="s">
        <v>2788</v>
      </c>
      <c r="B22" s="29" t="s">
        <v>1954</v>
      </c>
      <c r="C22" s="8" t="s">
        <v>1328</v>
      </c>
      <c r="D22" s="31">
        <v>189.4</v>
      </c>
      <c r="E22" s="46"/>
    </row>
    <row r="23" spans="1:5" ht="12.75" outlineLevel="2">
      <c r="A23" s="7" t="s">
        <v>1068</v>
      </c>
      <c r="B23" s="29" t="s">
        <v>1956</v>
      </c>
      <c r="C23" s="8" t="s">
        <v>1627</v>
      </c>
      <c r="D23" s="101">
        <v>30.96</v>
      </c>
      <c r="E23" s="46"/>
    </row>
    <row r="24" spans="1:5" ht="12.75" outlineLevel="2">
      <c r="A24" s="8" t="s">
        <v>1203</v>
      </c>
      <c r="B24" s="29" t="s">
        <v>1957</v>
      </c>
      <c r="C24" s="8" t="s">
        <v>1204</v>
      </c>
      <c r="D24" s="31">
        <v>4849</v>
      </c>
      <c r="E24" s="46"/>
    </row>
    <row r="25" spans="1:5" ht="12.75" outlineLevel="2">
      <c r="A25" s="8" t="s">
        <v>1821</v>
      </c>
      <c r="B25" s="29" t="s">
        <v>1958</v>
      </c>
      <c r="C25" s="8" t="s">
        <v>2666</v>
      </c>
      <c r="D25" s="31">
        <v>128.72</v>
      </c>
      <c r="E25" s="46"/>
    </row>
    <row r="26" spans="1:5" ht="12.75" outlineLevel="2">
      <c r="A26" s="8" t="s">
        <v>1722</v>
      </c>
      <c r="B26" s="29" t="s">
        <v>1959</v>
      </c>
      <c r="C26" s="8" t="s">
        <v>2147</v>
      </c>
      <c r="D26" s="31">
        <v>1113</v>
      </c>
      <c r="E26" s="46"/>
    </row>
    <row r="27" spans="1:5" ht="12.75" outlineLevel="2">
      <c r="A27" s="8" t="s">
        <v>1152</v>
      </c>
      <c r="B27" s="29" t="s">
        <v>1959</v>
      </c>
      <c r="C27" s="7" t="s">
        <v>2727</v>
      </c>
      <c r="D27" s="31">
        <v>1334.41</v>
      </c>
      <c r="E27" s="46"/>
    </row>
    <row r="28" spans="1:5" ht="12.75" outlineLevel="2">
      <c r="A28" s="8" t="s">
        <v>2012</v>
      </c>
      <c r="B28" s="29" t="s">
        <v>1959</v>
      </c>
      <c r="C28" s="8" t="s">
        <v>2013</v>
      </c>
      <c r="D28" s="31">
        <v>22142</v>
      </c>
      <c r="E28" s="46"/>
    </row>
    <row r="29" spans="1:5" ht="25.5" outlineLevel="2">
      <c r="A29" s="8" t="s">
        <v>807</v>
      </c>
      <c r="B29" s="29" t="s">
        <v>1960</v>
      </c>
      <c r="C29" s="8" t="s">
        <v>808</v>
      </c>
      <c r="D29" s="31">
        <v>10652.83</v>
      </c>
      <c r="E29" s="46"/>
    </row>
    <row r="30" spans="1:5" ht="12.75" outlineLevel="2">
      <c r="A30" s="8" t="s">
        <v>182</v>
      </c>
      <c r="B30" s="29" t="s">
        <v>1960</v>
      </c>
      <c r="C30" s="8" t="s">
        <v>183</v>
      </c>
      <c r="D30" s="31">
        <v>2361.5</v>
      </c>
      <c r="E30" s="46"/>
    </row>
    <row r="31" spans="1:5" ht="12.75" outlineLevel="2">
      <c r="A31" s="8" t="s">
        <v>923</v>
      </c>
      <c r="B31" s="29" t="s">
        <v>1960</v>
      </c>
      <c r="C31" s="8" t="s">
        <v>924</v>
      </c>
      <c r="D31" s="31">
        <v>2272.8</v>
      </c>
      <c r="E31" s="46"/>
    </row>
    <row r="32" spans="1:5" ht="12.75" outlineLevel="2">
      <c r="A32" s="8" t="s">
        <v>1719</v>
      </c>
      <c r="B32" s="29" t="s">
        <v>1961</v>
      </c>
      <c r="C32" s="8" t="s">
        <v>774</v>
      </c>
      <c r="D32" s="31">
        <v>1502.53</v>
      </c>
      <c r="E32" s="46"/>
    </row>
    <row r="33" spans="1:5" ht="12.75" outlineLevel="1">
      <c r="A33" s="117" t="s">
        <v>1342</v>
      </c>
      <c r="B33" s="118"/>
      <c r="C33" s="119"/>
      <c r="D33" s="28">
        <f>SUM(D34:D35)</f>
        <v>36245</v>
      </c>
      <c r="E33" s="46"/>
    </row>
    <row r="34" spans="1:5" ht="12.75" outlineLevel="2">
      <c r="A34" s="7" t="s">
        <v>1022</v>
      </c>
      <c r="B34" s="29" t="s">
        <v>1955</v>
      </c>
      <c r="C34" s="7" t="s">
        <v>1023</v>
      </c>
      <c r="D34" s="30">
        <v>17318</v>
      </c>
      <c r="E34" s="46"/>
    </row>
    <row r="35" spans="1:5" ht="12.75" outlineLevel="2">
      <c r="A35" s="7" t="s">
        <v>1219</v>
      </c>
      <c r="B35" s="29" t="s">
        <v>1957</v>
      </c>
      <c r="C35" s="7" t="s">
        <v>1220</v>
      </c>
      <c r="D35" s="30">
        <v>18927</v>
      </c>
      <c r="E35" s="46"/>
    </row>
    <row r="36" spans="1:5" ht="12.75" outlineLevel="1">
      <c r="A36" s="117" t="s">
        <v>1344</v>
      </c>
      <c r="B36" s="118"/>
      <c r="C36" s="119"/>
      <c r="D36" s="28">
        <f>SUM(D37:D48)</f>
        <v>156317.40000000002</v>
      </c>
      <c r="E36" s="46"/>
    </row>
    <row r="37" spans="1:5" ht="12.75" outlineLevel="2">
      <c r="A37" s="7"/>
      <c r="B37" s="29" t="s">
        <v>849</v>
      </c>
      <c r="C37" s="7" t="s">
        <v>1968</v>
      </c>
      <c r="D37" s="30">
        <f>3099.33+2707.01+1431.58+3386.9+1466.49+907.83</f>
        <v>12999.14</v>
      </c>
      <c r="E37" s="46"/>
    </row>
    <row r="38" spans="1:5" ht="12.75" outlineLevel="2">
      <c r="A38" s="7"/>
      <c r="B38" s="29" t="s">
        <v>1951</v>
      </c>
      <c r="C38" s="7" t="s">
        <v>1968</v>
      </c>
      <c r="D38" s="30">
        <f>3099.33+2707.01+1608.51+3805.5+1647.74+1020.03</f>
        <v>13888.12</v>
      </c>
      <c r="E38" s="46"/>
    </row>
    <row r="39" spans="1:5" ht="12.75" outlineLevel="2">
      <c r="A39" s="7"/>
      <c r="B39" s="29" t="s">
        <v>1952</v>
      </c>
      <c r="C39" s="7" t="s">
        <v>1968</v>
      </c>
      <c r="D39" s="30">
        <f>3099.33+2707.01+1528.09+3615.23+1565.36+969.03+235.39</f>
        <v>13719.44</v>
      </c>
      <c r="E39" s="46"/>
    </row>
    <row r="40" spans="1:5" ht="12.75" outlineLevel="2">
      <c r="A40" s="7"/>
      <c r="B40" s="29" t="s">
        <v>1953</v>
      </c>
      <c r="C40" s="7" t="s">
        <v>1968</v>
      </c>
      <c r="D40" s="30">
        <f>3099.33+2393.15+4385.35+1271.12+826.23+235.39</f>
        <v>12210.57</v>
      </c>
      <c r="E40" s="46"/>
    </row>
    <row r="41" spans="1:5" ht="12.75" outlineLevel="2">
      <c r="A41" s="7"/>
      <c r="B41" s="29" t="s">
        <v>1954</v>
      </c>
      <c r="C41" s="7" t="s">
        <v>1968</v>
      </c>
      <c r="D41" s="30">
        <f>3099.33+2079.3+5335.55+1451.58+980.8+235.39</f>
        <v>13181.949999999999</v>
      </c>
      <c r="E41" s="46"/>
    </row>
    <row r="42" spans="1:5" ht="12.75" outlineLevel="2">
      <c r="A42" s="7"/>
      <c r="B42" s="29" t="s">
        <v>1955</v>
      </c>
      <c r="C42" s="7" t="s">
        <v>1968</v>
      </c>
      <c r="D42" s="30">
        <f>1239.73+1039.65+2707.01+725.79+490.4</f>
        <v>6202.58</v>
      </c>
      <c r="E42" s="46"/>
    </row>
    <row r="43" spans="1:5" ht="12.75" outlineLevel="2">
      <c r="A43" s="7"/>
      <c r="B43" s="29" t="s">
        <v>1956</v>
      </c>
      <c r="C43" s="7" t="s">
        <v>1968</v>
      </c>
      <c r="D43" s="30">
        <f>3452.42+2314.69+4652.13+1238.55+845.84</f>
        <v>12503.630000000001</v>
      </c>
      <c r="E43" s="46"/>
    </row>
    <row r="44" spans="1:5" ht="12.75" outlineLevel="2">
      <c r="A44" s="7"/>
      <c r="B44" s="29" t="s">
        <v>1957</v>
      </c>
      <c r="C44" s="7" t="s">
        <v>1968</v>
      </c>
      <c r="D44" s="30">
        <f>3452.42+2314.69+5497.97+1468.64+999.63</f>
        <v>13733.35</v>
      </c>
      <c r="E44" s="46"/>
    </row>
    <row r="45" spans="1:5" ht="12.75" outlineLevel="2">
      <c r="A45" s="7"/>
      <c r="B45" s="29" t="s">
        <v>1958</v>
      </c>
      <c r="C45" s="7" t="s">
        <v>1968</v>
      </c>
      <c r="D45" s="30">
        <f>3452.42+2314.69+6041.73+1608.51+1098.5</f>
        <v>14515.85</v>
      </c>
      <c r="E45" s="46"/>
    </row>
    <row r="46" spans="1:5" ht="12.75" outlineLevel="2">
      <c r="A46" s="7"/>
      <c r="B46" s="29" t="s">
        <v>1959</v>
      </c>
      <c r="C46" s="7" t="s">
        <v>1968</v>
      </c>
      <c r="D46" s="30">
        <f>3452.42+2314.69+6041.73+1608.51+1098.5</f>
        <v>14515.85</v>
      </c>
      <c r="E46" s="46"/>
    </row>
    <row r="47" spans="1:5" ht="12.75" outlineLevel="2">
      <c r="A47" s="7"/>
      <c r="B47" s="29" t="s">
        <v>1960</v>
      </c>
      <c r="C47" s="7" t="s">
        <v>1968</v>
      </c>
      <c r="D47" s="30">
        <f>3452.42+3020.86+1804.67+4237.06+843.9+1098.5</f>
        <v>14457.410000000002</v>
      </c>
      <c r="E47" s="46"/>
    </row>
    <row r="48" spans="1:5" ht="12.75" outlineLevel="2">
      <c r="A48" s="11"/>
      <c r="B48" s="29" t="s">
        <v>1961</v>
      </c>
      <c r="C48" s="7" t="s">
        <v>1968</v>
      </c>
      <c r="D48" s="30">
        <f>3452.42+3020.86+1624.2+3643.87+1659.51+988.65</f>
        <v>14389.51</v>
      </c>
      <c r="E48" s="46"/>
    </row>
    <row r="49" spans="1:5" ht="12.75" outlineLevel="1">
      <c r="A49" s="117" t="s">
        <v>1346</v>
      </c>
      <c r="B49" s="118"/>
      <c r="C49" s="119"/>
      <c r="D49" s="28">
        <f>SUM(D50:D53)</f>
        <v>9470.15</v>
      </c>
      <c r="E49" s="46"/>
    </row>
    <row r="50" spans="1:5" ht="12.75" outlineLevel="2">
      <c r="A50" s="7" t="s">
        <v>1976</v>
      </c>
      <c r="B50" s="29" t="s">
        <v>849</v>
      </c>
      <c r="C50" s="51" t="s">
        <v>1589</v>
      </c>
      <c r="D50" s="30">
        <v>731.25</v>
      </c>
      <c r="E50" s="46"/>
    </row>
    <row r="51" spans="1:5" ht="12.75" outlineLevel="2">
      <c r="A51" s="7" t="s">
        <v>710</v>
      </c>
      <c r="B51" s="29" t="s">
        <v>1957</v>
      </c>
      <c r="C51" s="7" t="s">
        <v>709</v>
      </c>
      <c r="D51" s="30">
        <v>2719</v>
      </c>
      <c r="E51" s="46"/>
    </row>
    <row r="52" spans="1:5" ht="12.75" outlineLevel="2">
      <c r="A52" s="7" t="s">
        <v>711</v>
      </c>
      <c r="B52" s="29" t="s">
        <v>1957</v>
      </c>
      <c r="C52" s="7" t="s">
        <v>709</v>
      </c>
      <c r="D52" s="30">
        <v>5107</v>
      </c>
      <c r="E52" s="46"/>
    </row>
    <row r="53" spans="1:5" ht="12.75" outlineLevel="2">
      <c r="A53" s="51" t="s">
        <v>220</v>
      </c>
      <c r="B53" s="52" t="s">
        <v>1961</v>
      </c>
      <c r="C53" s="51" t="s">
        <v>221</v>
      </c>
      <c r="D53" s="30">
        <v>912.9</v>
      </c>
      <c r="E53" s="46"/>
    </row>
    <row r="54" spans="1:5" ht="12.75" outlineLevel="1">
      <c r="A54" s="117" t="s">
        <v>1341</v>
      </c>
      <c r="B54" s="118"/>
      <c r="C54" s="119"/>
      <c r="D54" s="28">
        <f>SUM(D55:D58)</f>
        <v>7566.099999999999</v>
      </c>
      <c r="E54" s="46"/>
    </row>
    <row r="55" spans="1:5" ht="12.75" outlineLevel="2">
      <c r="A55" s="7" t="s">
        <v>1729</v>
      </c>
      <c r="B55" s="29" t="s">
        <v>849</v>
      </c>
      <c r="C55" s="7" t="s">
        <v>1730</v>
      </c>
      <c r="D55" s="30">
        <v>759</v>
      </c>
      <c r="E55" s="46"/>
    </row>
    <row r="56" spans="1:5" ht="12.75" outlineLevel="2">
      <c r="A56" s="7" t="s">
        <v>2493</v>
      </c>
      <c r="B56" s="29" t="s">
        <v>1959</v>
      </c>
      <c r="C56" s="7" t="s">
        <v>2494</v>
      </c>
      <c r="D56" s="30">
        <v>2572</v>
      </c>
      <c r="E56" s="46"/>
    </row>
    <row r="57" spans="1:5" ht="12.75" outlineLevel="2">
      <c r="A57" s="7" t="s">
        <v>254</v>
      </c>
      <c r="B57" s="29" t="s">
        <v>1960</v>
      </c>
      <c r="C57" s="7" t="s">
        <v>255</v>
      </c>
      <c r="D57" s="30">
        <v>3883.22</v>
      </c>
      <c r="E57" s="46"/>
    </row>
    <row r="58" spans="1:5" ht="12.75" outlineLevel="2">
      <c r="A58" s="7" t="s">
        <v>218</v>
      </c>
      <c r="B58" s="29" t="s">
        <v>1961</v>
      </c>
      <c r="C58" s="7" t="s">
        <v>1385</v>
      </c>
      <c r="D58" s="30">
        <v>351.88</v>
      </c>
      <c r="E58" s="46"/>
    </row>
    <row r="59" spans="1:5" ht="12.75">
      <c r="A59" s="6">
        <v>3826</v>
      </c>
      <c r="B59" s="6" t="s">
        <v>1356</v>
      </c>
      <c r="C59" s="37" t="s">
        <v>1345</v>
      </c>
      <c r="D59" s="23">
        <f>(3826*6*1.46)+(3826*6*1.63)</f>
        <v>70934.04000000001</v>
      </c>
      <c r="E59" s="46"/>
    </row>
    <row r="60" spans="1:5" ht="12.75">
      <c r="A60" s="6">
        <v>3826</v>
      </c>
      <c r="B60" s="6" t="s">
        <v>1356</v>
      </c>
      <c r="C60" s="37" t="s">
        <v>1357</v>
      </c>
      <c r="D60" s="23">
        <f>(3826*6*0.1)+(3826*6*0.11)</f>
        <v>4820.76</v>
      </c>
      <c r="E60" s="46"/>
    </row>
    <row r="61" spans="1:5" ht="12.75" customHeight="1">
      <c r="A61" s="125" t="s">
        <v>1350</v>
      </c>
      <c r="B61" s="126"/>
      <c r="C61" s="127"/>
      <c r="D61" s="16">
        <f>(3826*6*1.57)+(3826*6*1.75)</f>
        <v>76213.92</v>
      </c>
      <c r="E61" s="48"/>
    </row>
    <row r="62" spans="1:5" ht="12.75" customHeight="1">
      <c r="A62" s="125" t="s">
        <v>1362</v>
      </c>
      <c r="B62" s="126"/>
      <c r="C62" s="127"/>
      <c r="D62" s="16">
        <f>10.3*(D64+D65)/100</f>
        <v>101908.5708</v>
      </c>
      <c r="E62" s="48"/>
    </row>
    <row r="63" spans="1:5" ht="12.75" customHeight="1">
      <c r="A63" s="120" t="s">
        <v>1363</v>
      </c>
      <c r="B63" s="121"/>
      <c r="C63" s="122"/>
      <c r="D63" s="41">
        <f>D62+D61+D8+D3</f>
        <v>690590.6108000001</v>
      </c>
      <c r="E63" s="48">
        <v>1</v>
      </c>
    </row>
    <row r="64" spans="1:5" ht="12.75" customHeight="1">
      <c r="A64" s="114" t="s">
        <v>1364</v>
      </c>
      <c r="B64" s="115"/>
      <c r="C64" s="116"/>
      <c r="D64" s="18">
        <v>863145.6</v>
      </c>
      <c r="E64" s="48">
        <v>2</v>
      </c>
    </row>
    <row r="65" spans="1:5" ht="12.75" customHeight="1">
      <c r="A65" s="114" t="s">
        <v>1365</v>
      </c>
      <c r="B65" s="115"/>
      <c r="C65" s="116"/>
      <c r="D65" s="18">
        <v>126258</v>
      </c>
      <c r="E65" s="48">
        <v>3</v>
      </c>
    </row>
    <row r="66" spans="1:5" ht="12.75" customHeight="1">
      <c r="A66" s="114" t="s">
        <v>2221</v>
      </c>
      <c r="B66" s="115"/>
      <c r="C66" s="116"/>
      <c r="D66" s="19">
        <f>938364.74+D64+D67</f>
        <v>1827522.2799999998</v>
      </c>
      <c r="E66" s="48">
        <v>4</v>
      </c>
    </row>
    <row r="67" spans="1:5" ht="25.5" customHeight="1">
      <c r="A67" s="114" t="s">
        <v>609</v>
      </c>
      <c r="B67" s="115"/>
      <c r="C67" s="116"/>
      <c r="D67" s="19">
        <v>26011.94</v>
      </c>
      <c r="E67" s="48"/>
    </row>
    <row r="68" spans="1:5" ht="13.5" customHeight="1">
      <c r="A68" s="114" t="s">
        <v>2222</v>
      </c>
      <c r="B68" s="115"/>
      <c r="C68" s="116"/>
      <c r="D68" s="19">
        <f>770744.98+D74+D69</f>
        <v>1608536.25</v>
      </c>
      <c r="E68" s="48">
        <v>5</v>
      </c>
    </row>
    <row r="69" spans="1:5" ht="27" customHeight="1">
      <c r="A69" s="114" t="s">
        <v>610</v>
      </c>
      <c r="B69" s="115"/>
      <c r="C69" s="116"/>
      <c r="D69" s="19">
        <v>23200.88</v>
      </c>
      <c r="E69" s="48"/>
    </row>
    <row r="70" spans="1:5" ht="25.5" customHeight="1">
      <c r="A70" s="120" t="s">
        <v>2223</v>
      </c>
      <c r="B70" s="121"/>
      <c r="C70" s="122"/>
      <c r="D70" s="42">
        <f>656889.56+D63</f>
        <v>1347480.1708000002</v>
      </c>
      <c r="E70" s="48">
        <v>6</v>
      </c>
    </row>
    <row r="71" spans="1:5" ht="12.75" customHeight="1">
      <c r="A71" s="114" t="s">
        <v>2224</v>
      </c>
      <c r="B71" s="115"/>
      <c r="C71" s="116"/>
      <c r="D71" s="19">
        <f>144964.8+D65</f>
        <v>271222.8</v>
      </c>
      <c r="E71" s="48">
        <v>7</v>
      </c>
    </row>
    <row r="72" spans="1:5" ht="12.75" customHeight="1">
      <c r="A72" s="114" t="s">
        <v>2225</v>
      </c>
      <c r="B72" s="115"/>
      <c r="C72" s="116"/>
      <c r="D72" s="19">
        <f>114393.2+D75</f>
        <v>233548.71</v>
      </c>
      <c r="E72" s="48">
        <v>8</v>
      </c>
    </row>
    <row r="73" spans="1:5" ht="12.75" customHeight="1">
      <c r="A73" s="120" t="s">
        <v>2226</v>
      </c>
      <c r="B73" s="121"/>
      <c r="C73" s="122"/>
      <c r="D73" s="42">
        <v>0</v>
      </c>
      <c r="E73" s="48">
        <v>9</v>
      </c>
    </row>
    <row r="74" spans="1:5" ht="12.75" customHeight="1">
      <c r="A74" s="114" t="s">
        <v>779</v>
      </c>
      <c r="B74" s="115"/>
      <c r="C74" s="116"/>
      <c r="D74" s="18">
        <v>814590.39</v>
      </c>
      <c r="E74" s="48">
        <v>10</v>
      </c>
    </row>
    <row r="75" spans="1:5" ht="12.75" customHeight="1">
      <c r="A75" s="114" t="s">
        <v>780</v>
      </c>
      <c r="B75" s="115"/>
      <c r="C75" s="116"/>
      <c r="D75" s="18">
        <v>119155.51</v>
      </c>
      <c r="E75" s="48">
        <v>11</v>
      </c>
    </row>
    <row r="76" spans="1:5" ht="12.75" customHeight="1">
      <c r="A76" s="120" t="s">
        <v>781</v>
      </c>
      <c r="B76" s="121"/>
      <c r="C76" s="122"/>
      <c r="D76" s="41">
        <v>0</v>
      </c>
      <c r="E76" s="48">
        <v>12</v>
      </c>
    </row>
    <row r="77" spans="1:5" ht="27" customHeight="1">
      <c r="A77" s="108" t="s">
        <v>782</v>
      </c>
      <c r="B77" s="109"/>
      <c r="C77" s="110"/>
      <c r="D77" s="26">
        <f>D66-D70</f>
        <v>480042.1091999996</v>
      </c>
      <c r="E77" s="48">
        <v>13</v>
      </c>
    </row>
    <row r="78" spans="1:5" ht="25.5" customHeight="1">
      <c r="A78" s="108" t="s">
        <v>783</v>
      </c>
      <c r="B78" s="109"/>
      <c r="C78" s="110"/>
      <c r="D78" s="26">
        <f>D71-D73</f>
        <v>271222.8</v>
      </c>
      <c r="E78" s="48">
        <v>14</v>
      </c>
    </row>
    <row r="79" spans="1:5" ht="25.5" customHeight="1">
      <c r="A79" s="108" t="s">
        <v>784</v>
      </c>
      <c r="B79" s="109"/>
      <c r="C79" s="110"/>
      <c r="D79" s="26">
        <f>D68-D70</f>
        <v>261056.0791999998</v>
      </c>
      <c r="E79" s="48">
        <v>15</v>
      </c>
    </row>
  </sheetData>
  <sheetProtection/>
  <mergeCells count="29">
    <mergeCell ref="A69:C69"/>
    <mergeCell ref="A68:C68"/>
    <mergeCell ref="A33:C33"/>
    <mergeCell ref="A3:C3"/>
    <mergeCell ref="A4:C4"/>
    <mergeCell ref="A6:C6"/>
    <mergeCell ref="A8:C8"/>
    <mergeCell ref="A9:C9"/>
    <mergeCell ref="A67:C67"/>
    <mergeCell ref="A1:D1"/>
    <mergeCell ref="A78:C78"/>
    <mergeCell ref="A79:C79"/>
    <mergeCell ref="A72:C72"/>
    <mergeCell ref="A73:C73"/>
    <mergeCell ref="A74:C74"/>
    <mergeCell ref="A75:C75"/>
    <mergeCell ref="A70:C70"/>
    <mergeCell ref="A71:C71"/>
    <mergeCell ref="A61:C61"/>
    <mergeCell ref="A76:C76"/>
    <mergeCell ref="A77:C77"/>
    <mergeCell ref="A66:C66"/>
    <mergeCell ref="A36:C36"/>
    <mergeCell ref="A49:C49"/>
    <mergeCell ref="A54:C54"/>
    <mergeCell ref="A62:C62"/>
    <mergeCell ref="A63:C63"/>
    <mergeCell ref="A64:C64"/>
    <mergeCell ref="A65:C65"/>
  </mergeCells>
  <printOptions/>
  <pageMargins left="0.19" right="0.1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80" sqref="A1:D80"/>
    </sheetView>
  </sheetViews>
  <sheetFormatPr defaultColWidth="13.421875" defaultRowHeight="12.75" outlineLevelRow="2"/>
  <cols>
    <col min="1" max="1" width="13.140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2.25" customHeight="1" thickBot="1">
      <c r="A1" s="135" t="s">
        <v>1590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5" customHeight="1" thickBot="1">
      <c r="A3" s="124" t="s">
        <v>1343</v>
      </c>
      <c r="B3" s="124"/>
      <c r="C3" s="124"/>
      <c r="D3" s="25">
        <f>D4+D29+D34+D47+D60+D62+D63</f>
        <v>411578.12</v>
      </c>
      <c r="E3" s="45"/>
    </row>
    <row r="4" spans="1:5" ht="12" customHeight="1" outlineLevel="1" thickTop="1">
      <c r="A4" s="111" t="s">
        <v>1354</v>
      </c>
      <c r="B4" s="112"/>
      <c r="C4" s="113"/>
      <c r="D4" s="28">
        <f>SUM(D5:D28)</f>
        <v>129412.65999999999</v>
      </c>
      <c r="E4" s="46"/>
    </row>
    <row r="5" spans="1:5" ht="12" customHeight="1" outlineLevel="2">
      <c r="A5" s="7" t="s">
        <v>1130</v>
      </c>
      <c r="B5" s="29" t="s">
        <v>849</v>
      </c>
      <c r="C5" s="7" t="s">
        <v>1129</v>
      </c>
      <c r="D5" s="30">
        <v>16237</v>
      </c>
      <c r="E5" s="46"/>
    </row>
    <row r="6" spans="1:5" ht="12" customHeight="1" outlineLevel="2">
      <c r="A6" s="7" t="s">
        <v>1744</v>
      </c>
      <c r="B6" s="29" t="s">
        <v>849</v>
      </c>
      <c r="C6" s="7" t="s">
        <v>1751</v>
      </c>
      <c r="D6" s="30">
        <v>280</v>
      </c>
      <c r="E6" s="46"/>
    </row>
    <row r="7" spans="1:5" ht="12" customHeight="1" outlineLevel="2">
      <c r="A7" s="7" t="s">
        <v>1744</v>
      </c>
      <c r="B7" s="29" t="s">
        <v>849</v>
      </c>
      <c r="C7" s="7" t="s">
        <v>1752</v>
      </c>
      <c r="D7" s="30">
        <v>1315</v>
      </c>
      <c r="E7" s="46"/>
    </row>
    <row r="8" spans="1:5" ht="12" customHeight="1" outlineLevel="2">
      <c r="A8" s="7" t="s">
        <v>1784</v>
      </c>
      <c r="B8" s="29" t="s">
        <v>849</v>
      </c>
      <c r="C8" s="7" t="s">
        <v>1883</v>
      </c>
      <c r="D8" s="30">
        <v>1072</v>
      </c>
      <c r="E8" s="46"/>
    </row>
    <row r="9" spans="1:5" ht="12" customHeight="1" outlineLevel="2">
      <c r="A9" s="7" t="s">
        <v>2183</v>
      </c>
      <c r="B9" s="29" t="s">
        <v>849</v>
      </c>
      <c r="C9" s="7" t="s">
        <v>2174</v>
      </c>
      <c r="D9" s="30">
        <v>94.7</v>
      </c>
      <c r="E9" s="46"/>
    </row>
    <row r="10" spans="1:5" ht="12" customHeight="1" outlineLevel="2">
      <c r="A10" s="7" t="s">
        <v>101</v>
      </c>
      <c r="B10" s="29" t="s">
        <v>1951</v>
      </c>
      <c r="C10" s="7" t="s">
        <v>104</v>
      </c>
      <c r="D10" s="30">
        <v>153</v>
      </c>
      <c r="E10" s="46"/>
    </row>
    <row r="11" spans="1:5" ht="12" customHeight="1" outlineLevel="2">
      <c r="A11" s="7" t="s">
        <v>1692</v>
      </c>
      <c r="B11" s="29" t="s">
        <v>1952</v>
      </c>
      <c r="C11" s="7" t="s">
        <v>1694</v>
      </c>
      <c r="D11" s="30">
        <v>374</v>
      </c>
      <c r="E11" s="46"/>
    </row>
    <row r="12" spans="1:5" ht="12" customHeight="1" outlineLevel="2">
      <c r="A12" s="7" t="s">
        <v>493</v>
      </c>
      <c r="B12" s="29" t="s">
        <v>1952</v>
      </c>
      <c r="C12" s="7" t="s">
        <v>494</v>
      </c>
      <c r="D12" s="30">
        <v>2783</v>
      </c>
      <c r="E12" s="46"/>
    </row>
    <row r="13" spans="1:5" ht="12" customHeight="1" outlineLevel="2">
      <c r="A13" s="7" t="s">
        <v>497</v>
      </c>
      <c r="B13" s="29" t="s">
        <v>1952</v>
      </c>
      <c r="C13" s="7" t="s">
        <v>498</v>
      </c>
      <c r="D13" s="30">
        <v>15725</v>
      </c>
      <c r="E13" s="46"/>
    </row>
    <row r="14" spans="1:5" ht="12" customHeight="1" outlineLevel="2">
      <c r="A14" s="7" t="s">
        <v>552</v>
      </c>
      <c r="B14" s="29" t="s">
        <v>1952</v>
      </c>
      <c r="C14" s="7" t="s">
        <v>2200</v>
      </c>
      <c r="D14" s="30">
        <v>7.79</v>
      </c>
      <c r="E14" s="46"/>
    </row>
    <row r="15" spans="1:5" ht="12" customHeight="1" outlineLevel="2">
      <c r="A15" s="8" t="s">
        <v>2399</v>
      </c>
      <c r="B15" s="29" t="s">
        <v>1953</v>
      </c>
      <c r="C15" s="7" t="s">
        <v>2400</v>
      </c>
      <c r="D15" s="31">
        <v>4064</v>
      </c>
      <c r="E15" s="46"/>
    </row>
    <row r="16" spans="1:5" ht="12" customHeight="1" outlineLevel="2">
      <c r="A16" s="8" t="s">
        <v>2409</v>
      </c>
      <c r="B16" s="29" t="s">
        <v>1953</v>
      </c>
      <c r="C16" s="7" t="s">
        <v>2411</v>
      </c>
      <c r="D16" s="31">
        <v>887</v>
      </c>
      <c r="E16" s="46"/>
    </row>
    <row r="17" spans="1:5" ht="12" customHeight="1" outlineLevel="2">
      <c r="A17" s="8" t="s">
        <v>1318</v>
      </c>
      <c r="B17" s="29" t="s">
        <v>1954</v>
      </c>
      <c r="C17" s="7" t="s">
        <v>1319</v>
      </c>
      <c r="D17" s="31">
        <v>1887</v>
      </c>
      <c r="E17" s="46"/>
    </row>
    <row r="18" spans="1:5" ht="12" customHeight="1" outlineLevel="2">
      <c r="A18" s="8" t="s">
        <v>577</v>
      </c>
      <c r="B18" s="29" t="s">
        <v>1954</v>
      </c>
      <c r="C18" s="7" t="s">
        <v>559</v>
      </c>
      <c r="D18" s="31">
        <v>140.14</v>
      </c>
      <c r="E18" s="46"/>
    </row>
    <row r="19" spans="1:5" ht="12" customHeight="1" outlineLevel="2">
      <c r="A19" s="8" t="s">
        <v>2787</v>
      </c>
      <c r="B19" s="29" t="s">
        <v>1954</v>
      </c>
      <c r="C19" s="8" t="s">
        <v>1328</v>
      </c>
      <c r="D19" s="31">
        <v>568.2</v>
      </c>
      <c r="E19" s="46"/>
    </row>
    <row r="20" spans="1:5" ht="12" customHeight="1" outlineLevel="2">
      <c r="A20" s="8" t="s">
        <v>442</v>
      </c>
      <c r="B20" s="29" t="s">
        <v>1955</v>
      </c>
      <c r="C20" s="8" t="s">
        <v>443</v>
      </c>
      <c r="D20" s="31">
        <v>11959</v>
      </c>
      <c r="E20" s="46"/>
    </row>
    <row r="21" spans="1:5" ht="12" customHeight="1" outlineLevel="2">
      <c r="A21" s="8" t="s">
        <v>1201</v>
      </c>
      <c r="B21" s="29" t="s">
        <v>1957</v>
      </c>
      <c r="C21" s="8" t="s">
        <v>1202</v>
      </c>
      <c r="D21" s="31">
        <v>5959</v>
      </c>
      <c r="E21" s="46"/>
    </row>
    <row r="22" spans="1:5" ht="12" customHeight="1" outlineLevel="2">
      <c r="A22" s="8" t="s">
        <v>446</v>
      </c>
      <c r="B22" s="29" t="s">
        <v>1955</v>
      </c>
      <c r="C22" s="8" t="s">
        <v>447</v>
      </c>
      <c r="D22" s="31">
        <v>2111</v>
      </c>
      <c r="E22" s="46"/>
    </row>
    <row r="23" spans="1:5" ht="12" customHeight="1" outlineLevel="2">
      <c r="A23" s="8" t="s">
        <v>1822</v>
      </c>
      <c r="B23" s="29" t="s">
        <v>1958</v>
      </c>
      <c r="C23" s="8" t="s">
        <v>1823</v>
      </c>
      <c r="D23" s="31">
        <v>386.16</v>
      </c>
      <c r="E23" s="46"/>
    </row>
    <row r="24" spans="1:5" ht="12" customHeight="1" outlineLevel="2">
      <c r="A24" s="8" t="s">
        <v>1152</v>
      </c>
      <c r="B24" s="29" t="s">
        <v>1959</v>
      </c>
      <c r="C24" s="7" t="s">
        <v>2727</v>
      </c>
      <c r="D24" s="31">
        <v>4002.97</v>
      </c>
      <c r="E24" s="46"/>
    </row>
    <row r="25" spans="1:5" ht="12" customHeight="1" outlineLevel="2">
      <c r="A25" s="8" t="s">
        <v>2010</v>
      </c>
      <c r="B25" s="29" t="s">
        <v>1959</v>
      </c>
      <c r="C25" s="8" t="s">
        <v>2011</v>
      </c>
      <c r="D25" s="31">
        <v>8932.5</v>
      </c>
      <c r="E25" s="46"/>
    </row>
    <row r="26" spans="1:5" ht="12" customHeight="1" outlineLevel="2">
      <c r="A26" s="8" t="s">
        <v>925</v>
      </c>
      <c r="B26" s="29" t="s">
        <v>1960</v>
      </c>
      <c r="C26" s="8" t="s">
        <v>917</v>
      </c>
      <c r="D26" s="31">
        <v>3409.2</v>
      </c>
      <c r="E26" s="46"/>
    </row>
    <row r="27" spans="1:5" ht="12" customHeight="1" outlineLevel="2">
      <c r="A27" s="8" t="s">
        <v>7</v>
      </c>
      <c r="B27" s="29" t="s">
        <v>1961</v>
      </c>
      <c r="C27" s="8" t="s">
        <v>771</v>
      </c>
      <c r="D27" s="31">
        <v>40469</v>
      </c>
      <c r="E27" s="46"/>
    </row>
    <row r="28" spans="1:5" ht="12" customHeight="1" outlineLevel="2">
      <c r="A28" s="55" t="s">
        <v>1406</v>
      </c>
      <c r="B28" s="52" t="s">
        <v>1961</v>
      </c>
      <c r="C28" s="55" t="s">
        <v>1407</v>
      </c>
      <c r="D28" s="31">
        <v>6596</v>
      </c>
      <c r="E28" s="46"/>
    </row>
    <row r="29" spans="1:5" ht="12.75" outlineLevel="1">
      <c r="A29" s="117" t="s">
        <v>1342</v>
      </c>
      <c r="B29" s="118"/>
      <c r="C29" s="119"/>
      <c r="D29" s="28">
        <f>SUM(D30:D33)</f>
        <v>37844</v>
      </c>
      <c r="E29" s="46"/>
    </row>
    <row r="30" spans="1:5" ht="12.75" outlineLevel="2">
      <c r="A30" s="7" t="s">
        <v>854</v>
      </c>
      <c r="B30" s="29" t="s">
        <v>849</v>
      </c>
      <c r="C30" s="7" t="s">
        <v>855</v>
      </c>
      <c r="D30" s="30">
        <v>2628</v>
      </c>
      <c r="E30" s="46"/>
    </row>
    <row r="31" spans="1:5" ht="12.75" outlineLevel="2">
      <c r="A31" s="7" t="s">
        <v>1232</v>
      </c>
      <c r="B31" s="29" t="s">
        <v>1957</v>
      </c>
      <c r="C31" s="7" t="s">
        <v>1225</v>
      </c>
      <c r="D31" s="30">
        <v>2944</v>
      </c>
      <c r="E31" s="46"/>
    </row>
    <row r="32" spans="1:5" ht="12.75" outlineLevel="2">
      <c r="A32" s="7" t="s">
        <v>894</v>
      </c>
      <c r="B32" s="29" t="s">
        <v>1958</v>
      </c>
      <c r="C32" s="7" t="s">
        <v>895</v>
      </c>
      <c r="D32" s="30">
        <v>8098</v>
      </c>
      <c r="E32" s="46"/>
    </row>
    <row r="33" spans="1:5" ht="12.75" outlineLevel="2">
      <c r="A33" s="7" t="s">
        <v>897</v>
      </c>
      <c r="B33" s="29" t="s">
        <v>1958</v>
      </c>
      <c r="C33" s="7" t="s">
        <v>898</v>
      </c>
      <c r="D33" s="30">
        <v>24174</v>
      </c>
      <c r="E33" s="46"/>
    </row>
    <row r="34" spans="1:5" ht="12.75" outlineLevel="1">
      <c r="A34" s="117" t="s">
        <v>1344</v>
      </c>
      <c r="B34" s="118"/>
      <c r="C34" s="119"/>
      <c r="D34" s="28">
        <f>SUM(D35:D46)</f>
        <v>155576.58000000002</v>
      </c>
      <c r="E34" s="46"/>
    </row>
    <row r="35" spans="1:5" ht="12.75" outlineLevel="2">
      <c r="A35" s="7"/>
      <c r="B35" s="29" t="s">
        <v>849</v>
      </c>
      <c r="C35" s="7" t="s">
        <v>1950</v>
      </c>
      <c r="D35" s="30">
        <f>3038.1+2653.53+1403.3+3319.99+1437.52+889.89</f>
        <v>12742.33</v>
      </c>
      <c r="E35" s="46"/>
    </row>
    <row r="36" spans="1:5" ht="12.75" outlineLevel="2">
      <c r="A36" s="7"/>
      <c r="B36" s="29" t="s">
        <v>1951</v>
      </c>
      <c r="C36" s="7" t="s">
        <v>1950</v>
      </c>
      <c r="D36" s="30">
        <f>3038.1+2653.53+1576.74+3730.33+1615.19+999.88</f>
        <v>13613.77</v>
      </c>
      <c r="E36" s="46"/>
    </row>
    <row r="37" spans="1:5" ht="12.75" outlineLevel="2">
      <c r="A37" s="7"/>
      <c r="B37" s="29" t="s">
        <v>1952</v>
      </c>
      <c r="C37" s="7" t="s">
        <v>1950</v>
      </c>
      <c r="D37" s="30">
        <f>3038.1+2653.53+1576.74+3730.33+1615.19+999.88+230.74</f>
        <v>13844.51</v>
      </c>
      <c r="E37" s="46"/>
    </row>
    <row r="38" spans="1:5" ht="12.75" outlineLevel="2">
      <c r="A38" s="7"/>
      <c r="B38" s="29" t="s">
        <v>1953</v>
      </c>
      <c r="C38" s="7" t="s">
        <v>1950</v>
      </c>
      <c r="D38" s="30">
        <f>3038.1+2345.88+4298.72+1246.01+809.9+198.44</f>
        <v>11937.050000000001</v>
      </c>
      <c r="E38" s="46"/>
    </row>
    <row r="39" spans="1:5" ht="12.75" outlineLevel="2">
      <c r="A39" s="7"/>
      <c r="B39" s="29" t="s">
        <v>1954</v>
      </c>
      <c r="C39" s="7" t="s">
        <v>1950</v>
      </c>
      <c r="D39" s="30">
        <f>3038.1+2038.22+5230.15+1422.91+961.43+207.67</f>
        <v>12898.48</v>
      </c>
      <c r="E39" s="46"/>
    </row>
    <row r="40" spans="1:5" ht="12.75" outlineLevel="2">
      <c r="A40" s="7"/>
      <c r="B40" s="29" t="s">
        <v>1955</v>
      </c>
      <c r="C40" s="7" t="s">
        <v>1950</v>
      </c>
      <c r="D40" s="30">
        <f>1215.24+1019.11+2653.53+711.45+480.71</f>
        <v>6080.04</v>
      </c>
      <c r="E40" s="46"/>
    </row>
    <row r="41" spans="1:5" ht="12.75" outlineLevel="2">
      <c r="A41" s="7"/>
      <c r="B41" s="29" t="s">
        <v>1956</v>
      </c>
      <c r="C41" s="7" t="s">
        <v>1950</v>
      </c>
      <c r="D41" s="30">
        <f>3384.22+2268.96+4560.23+1214.09+829.13</f>
        <v>12256.63</v>
      </c>
      <c r="E41" s="46"/>
    </row>
    <row r="42" spans="1:5" ht="12.75" outlineLevel="2">
      <c r="A42" s="7"/>
      <c r="B42" s="29" t="s">
        <v>1957</v>
      </c>
      <c r="C42" s="7" t="s">
        <v>1950</v>
      </c>
      <c r="D42" s="30">
        <f>3384.22+2268.96+5407.39+1434.83+979.88</f>
        <v>13475.279999999999</v>
      </c>
      <c r="E42" s="46"/>
    </row>
    <row r="43" spans="1:5" ht="12.75" outlineLevel="2">
      <c r="A43" s="7"/>
      <c r="B43" s="29" t="s">
        <v>1958</v>
      </c>
      <c r="C43" s="7" t="s">
        <v>1950</v>
      </c>
      <c r="D43" s="30">
        <f>3384.22+2268.96+5922.38+1576.74+1076.8</f>
        <v>14229.1</v>
      </c>
      <c r="E43" s="46"/>
    </row>
    <row r="44" spans="1:5" ht="12.75" outlineLevel="2">
      <c r="A44" s="7"/>
      <c r="B44" s="29" t="s">
        <v>1959</v>
      </c>
      <c r="C44" s="7" t="s">
        <v>1950</v>
      </c>
      <c r="D44" s="30">
        <f>3384.22+2268.96+5922.38+1576.74+463.02</f>
        <v>13615.320000000002</v>
      </c>
      <c r="E44" s="46"/>
    </row>
    <row r="45" spans="1:5" ht="12.75" outlineLevel="2">
      <c r="A45" s="7"/>
      <c r="B45" s="29" t="s">
        <v>1960</v>
      </c>
      <c r="C45" s="7" t="s">
        <v>1950</v>
      </c>
      <c r="D45" s="30">
        <f>3384.22+2961.19+1769.02+4153.36+1807.48+1076.8</f>
        <v>15152.07</v>
      </c>
      <c r="E45" s="46"/>
    </row>
    <row r="46" spans="1:5" ht="12.75" outlineLevel="2">
      <c r="A46" s="11"/>
      <c r="B46" s="29" t="s">
        <v>1961</v>
      </c>
      <c r="C46" s="7" t="s">
        <v>1950</v>
      </c>
      <c r="D46" s="30">
        <f>3384.22+2961.19+1592.12+3571.89+1626.73+1626.73+969.12</f>
        <v>15732</v>
      </c>
      <c r="E46" s="46"/>
    </row>
    <row r="47" spans="1:5" ht="12.75" outlineLevel="1">
      <c r="A47" s="117" t="s">
        <v>1346</v>
      </c>
      <c r="B47" s="118"/>
      <c r="C47" s="119"/>
      <c r="D47" s="28">
        <f>SUM(D48:D49)</f>
        <v>10651.52</v>
      </c>
      <c r="E47" s="46"/>
    </row>
    <row r="48" spans="1:5" ht="12.75" outlineLevel="2">
      <c r="A48" s="7" t="s">
        <v>711</v>
      </c>
      <c r="B48" s="29" t="s">
        <v>1957</v>
      </c>
      <c r="C48" s="7" t="s">
        <v>709</v>
      </c>
      <c r="D48" s="30">
        <v>9611</v>
      </c>
      <c r="E48" s="46"/>
    </row>
    <row r="49" spans="1:5" ht="12.75" outlineLevel="2">
      <c r="A49" s="51" t="s">
        <v>220</v>
      </c>
      <c r="B49" s="52" t="s">
        <v>1961</v>
      </c>
      <c r="C49" s="51" t="s">
        <v>221</v>
      </c>
      <c r="D49" s="30">
        <v>1040.52</v>
      </c>
      <c r="E49" s="46"/>
    </row>
    <row r="50" spans="1:5" ht="12.75" outlineLevel="1">
      <c r="A50" s="117" t="s">
        <v>1341</v>
      </c>
      <c r="B50" s="118"/>
      <c r="C50" s="119"/>
      <c r="D50" s="28">
        <f>SUM(D51:D59)</f>
        <v>12943.270000000002</v>
      </c>
      <c r="E50" s="46"/>
    </row>
    <row r="51" spans="1:5" ht="12.75" outlineLevel="2">
      <c r="A51" s="7" t="s">
        <v>864</v>
      </c>
      <c r="B51" s="29" t="s">
        <v>849</v>
      </c>
      <c r="C51" s="7" t="s">
        <v>121</v>
      </c>
      <c r="D51" s="30">
        <v>1525</v>
      </c>
      <c r="E51" s="46"/>
    </row>
    <row r="52" spans="1:5" ht="12.75" outlineLevel="2">
      <c r="A52" s="7" t="s">
        <v>1191</v>
      </c>
      <c r="B52" s="29" t="s">
        <v>849</v>
      </c>
      <c r="C52" s="7" t="s">
        <v>1195</v>
      </c>
      <c r="D52" s="30">
        <v>297</v>
      </c>
      <c r="E52" s="46"/>
    </row>
    <row r="53" spans="1:5" ht="12.75" outlineLevel="2">
      <c r="A53" s="7" t="s">
        <v>1700</v>
      </c>
      <c r="B53" s="29" t="s">
        <v>849</v>
      </c>
      <c r="C53" s="7" t="s">
        <v>1743</v>
      </c>
      <c r="D53" s="30">
        <v>2348</v>
      </c>
      <c r="E53" s="46"/>
    </row>
    <row r="54" spans="1:5" ht="12.75" outlineLevel="2">
      <c r="A54" s="7" t="s">
        <v>522</v>
      </c>
      <c r="B54" s="29" t="s">
        <v>1952</v>
      </c>
      <c r="C54" s="7" t="s">
        <v>525</v>
      </c>
      <c r="D54" s="30">
        <v>299</v>
      </c>
      <c r="E54" s="46"/>
    </row>
    <row r="55" spans="1:5" ht="12.75" outlineLevel="2">
      <c r="A55" s="7" t="s">
        <v>2470</v>
      </c>
      <c r="B55" s="29" t="s">
        <v>1953</v>
      </c>
      <c r="C55" s="7" t="s">
        <v>2471</v>
      </c>
      <c r="D55" s="30">
        <v>1695</v>
      </c>
      <c r="E55" s="46"/>
    </row>
    <row r="56" spans="1:5" ht="12.75" outlineLevel="2">
      <c r="A56" s="7" t="s">
        <v>2431</v>
      </c>
      <c r="B56" s="29" t="s">
        <v>1959</v>
      </c>
      <c r="C56" s="7" t="s">
        <v>2433</v>
      </c>
      <c r="D56" s="30">
        <v>2967.7</v>
      </c>
      <c r="E56" s="46"/>
    </row>
    <row r="57" spans="1:5" ht="12.75" outlineLevel="2">
      <c r="A57" s="7" t="s">
        <v>244</v>
      </c>
      <c r="B57" s="29" t="s">
        <v>1960</v>
      </c>
      <c r="C57" s="7" t="s">
        <v>246</v>
      </c>
      <c r="D57" s="30">
        <v>335.25</v>
      </c>
      <c r="E57" s="46"/>
    </row>
    <row r="58" spans="1:5" ht="12.75" outlineLevel="2">
      <c r="A58" s="7" t="s">
        <v>249</v>
      </c>
      <c r="B58" s="29" t="s">
        <v>1960</v>
      </c>
      <c r="C58" s="7" t="s">
        <v>2031</v>
      </c>
      <c r="D58" s="30">
        <v>3039.13</v>
      </c>
      <c r="E58" s="46"/>
    </row>
    <row r="59" spans="1:5" ht="12.75" outlineLevel="2">
      <c r="A59" s="7" t="s">
        <v>218</v>
      </c>
      <c r="B59" s="29" t="s">
        <v>1961</v>
      </c>
      <c r="C59" s="7" t="s">
        <v>1388</v>
      </c>
      <c r="D59" s="30">
        <v>437.19</v>
      </c>
      <c r="E59" s="46"/>
    </row>
    <row r="60" spans="1:5" ht="12.75" outlineLevel="1">
      <c r="A60" s="117" t="s">
        <v>1347</v>
      </c>
      <c r="B60" s="118"/>
      <c r="C60" s="119"/>
      <c r="D60" s="28">
        <f>SUM(D61:D61)</f>
        <v>1116.9</v>
      </c>
      <c r="E60" s="46"/>
    </row>
    <row r="61" spans="1:5" ht="12.75" outlineLevel="2">
      <c r="A61" s="11"/>
      <c r="B61" s="29"/>
      <c r="C61" s="7" t="s">
        <v>239</v>
      </c>
      <c r="D61" s="30">
        <f>1116.9</f>
        <v>1116.9</v>
      </c>
      <c r="E61" s="46"/>
    </row>
    <row r="62" spans="1:6" ht="12.75">
      <c r="A62" s="6">
        <v>3887.7</v>
      </c>
      <c r="B62" s="6" t="s">
        <v>1356</v>
      </c>
      <c r="C62" s="37" t="s">
        <v>1345</v>
      </c>
      <c r="D62" s="23">
        <f>(3887.7*6*1.46)+(3887.7*6*1.63)</f>
        <v>72077.95799999998</v>
      </c>
      <c r="E62" s="46"/>
      <c r="F62" s="37" t="s">
        <v>1352</v>
      </c>
    </row>
    <row r="63" spans="1:6" ht="12.75">
      <c r="A63" s="6">
        <v>3887.7</v>
      </c>
      <c r="B63" s="6" t="s">
        <v>1356</v>
      </c>
      <c r="C63" s="37" t="s">
        <v>1357</v>
      </c>
      <c r="D63" s="23">
        <f>(3887.7*6*0.1)+(3887.7*6*0.11)</f>
        <v>4898.5019999999995</v>
      </c>
      <c r="E63" s="46"/>
      <c r="F63" s="37" t="s">
        <v>1351</v>
      </c>
    </row>
    <row r="64" spans="1:6" ht="12.75" customHeight="1">
      <c r="A64" s="125" t="s">
        <v>1350</v>
      </c>
      <c r="B64" s="126"/>
      <c r="C64" s="127"/>
      <c r="D64" s="76">
        <f>(3887.7*6*1.57)+(3887.7*6*1.75)</f>
        <v>77442.984</v>
      </c>
      <c r="E64" s="48"/>
      <c r="F64" s="14" t="s">
        <v>788</v>
      </c>
    </row>
    <row r="65" spans="1:6" ht="12.75" customHeight="1">
      <c r="A65" s="125" t="s">
        <v>1362</v>
      </c>
      <c r="B65" s="126"/>
      <c r="C65" s="127"/>
      <c r="D65" s="16">
        <f>10.3*(D67+D68)/100</f>
        <v>103551.99966</v>
      </c>
      <c r="E65" s="48"/>
      <c r="F65" s="14" t="s">
        <v>789</v>
      </c>
    </row>
    <row r="66" spans="1:6" ht="12.75" customHeight="1">
      <c r="A66" s="120" t="s">
        <v>1363</v>
      </c>
      <c r="B66" s="121"/>
      <c r="C66" s="122"/>
      <c r="D66" s="41">
        <f>D65+D64+D3</f>
        <v>592573.10366</v>
      </c>
      <c r="E66" s="48">
        <v>1</v>
      </c>
      <c r="F66" s="14" t="s">
        <v>790</v>
      </c>
    </row>
    <row r="67" spans="1:6" ht="12.75" customHeight="1">
      <c r="A67" s="114" t="s">
        <v>1364</v>
      </c>
      <c r="B67" s="115"/>
      <c r="C67" s="116"/>
      <c r="D67" s="18">
        <v>877065.12</v>
      </c>
      <c r="E67" s="48">
        <v>2</v>
      </c>
      <c r="F67" s="27"/>
    </row>
    <row r="68" spans="1:6" ht="12.75" customHeight="1">
      <c r="A68" s="114" t="s">
        <v>1365</v>
      </c>
      <c r="B68" s="115"/>
      <c r="C68" s="116"/>
      <c r="D68" s="18">
        <v>128294.1</v>
      </c>
      <c r="E68" s="48">
        <v>3</v>
      </c>
      <c r="F68" s="37" t="s">
        <v>1352</v>
      </c>
    </row>
    <row r="69" spans="1:6" ht="12.75" customHeight="1">
      <c r="A69" s="114" t="s">
        <v>2221</v>
      </c>
      <c r="B69" s="115"/>
      <c r="C69" s="116"/>
      <c r="D69" s="19">
        <f>952132.64+D67</f>
        <v>1829197.76</v>
      </c>
      <c r="E69" s="48">
        <v>4</v>
      </c>
      <c r="F69" s="37" t="s">
        <v>791</v>
      </c>
    </row>
    <row r="70" spans="1:6" ht="13.5" customHeight="1">
      <c r="A70" s="114" t="s">
        <v>2222</v>
      </c>
      <c r="B70" s="115"/>
      <c r="C70" s="116"/>
      <c r="D70" s="19">
        <f>712240.05+D75</f>
        <v>1473458.1</v>
      </c>
      <c r="E70" s="48">
        <v>5</v>
      </c>
      <c r="F70" s="14" t="s">
        <v>843</v>
      </c>
    </row>
    <row r="71" spans="1:6" ht="25.5" customHeight="1">
      <c r="A71" s="120" t="s">
        <v>2223</v>
      </c>
      <c r="B71" s="121"/>
      <c r="C71" s="122"/>
      <c r="D71" s="42">
        <f>848919.8+D66</f>
        <v>1441492.90366</v>
      </c>
      <c r="E71" s="48">
        <v>6</v>
      </c>
      <c r="F71" s="14" t="s">
        <v>844</v>
      </c>
    </row>
    <row r="72" spans="1:6" ht="12.75" customHeight="1">
      <c r="A72" s="114" t="s">
        <v>2224</v>
      </c>
      <c r="B72" s="115"/>
      <c r="C72" s="116"/>
      <c r="D72" s="19">
        <f>147098.3+D68</f>
        <v>275392.4</v>
      </c>
      <c r="E72" s="48">
        <v>7</v>
      </c>
      <c r="F72" s="14" t="s">
        <v>845</v>
      </c>
    </row>
    <row r="73" spans="1:6" ht="12.75" customHeight="1">
      <c r="A73" s="114" t="s">
        <v>2225</v>
      </c>
      <c r="B73" s="115"/>
      <c r="C73" s="116"/>
      <c r="D73" s="19">
        <f>105467+D76</f>
        <v>216815.39</v>
      </c>
      <c r="E73" s="48">
        <v>8</v>
      </c>
      <c r="F73" s="14" t="s">
        <v>787</v>
      </c>
    </row>
    <row r="74" spans="1:6" ht="12.75" customHeight="1">
      <c r="A74" s="120" t="s">
        <v>2226</v>
      </c>
      <c r="B74" s="121"/>
      <c r="C74" s="122"/>
      <c r="D74" s="42">
        <v>0</v>
      </c>
      <c r="E74" s="48">
        <v>9</v>
      </c>
      <c r="F74" s="14" t="s">
        <v>846</v>
      </c>
    </row>
    <row r="75" spans="1:6" ht="12.75" customHeight="1">
      <c r="A75" s="114" t="s">
        <v>779</v>
      </c>
      <c r="B75" s="115"/>
      <c r="C75" s="116"/>
      <c r="D75" s="18">
        <v>761218.05</v>
      </c>
      <c r="E75" s="48">
        <v>10</v>
      </c>
      <c r="F75" s="14" t="s">
        <v>847</v>
      </c>
    </row>
    <row r="76" spans="1:6" ht="12.75" customHeight="1">
      <c r="A76" s="114" t="s">
        <v>780</v>
      </c>
      <c r="B76" s="115"/>
      <c r="C76" s="116"/>
      <c r="D76" s="18">
        <v>111348.39</v>
      </c>
      <c r="E76" s="48">
        <v>11</v>
      </c>
      <c r="F76" s="14" t="s">
        <v>848</v>
      </c>
    </row>
    <row r="77" spans="1:6" ht="12.75" customHeight="1">
      <c r="A77" s="120" t="s">
        <v>781</v>
      </c>
      <c r="B77" s="121"/>
      <c r="C77" s="122"/>
      <c r="D77" s="41">
        <v>0</v>
      </c>
      <c r="E77" s="48">
        <v>12</v>
      </c>
      <c r="F77" s="43"/>
    </row>
    <row r="78" spans="1:6" ht="27" customHeight="1">
      <c r="A78" s="108" t="s">
        <v>782</v>
      </c>
      <c r="B78" s="109"/>
      <c r="C78" s="110"/>
      <c r="D78" s="26">
        <f>D69-D71</f>
        <v>387704.85633999994</v>
      </c>
      <c r="E78" s="48">
        <v>13</v>
      </c>
      <c r="F78" s="43"/>
    </row>
    <row r="79" spans="1:6" ht="25.5" customHeight="1">
      <c r="A79" s="108" t="s">
        <v>783</v>
      </c>
      <c r="B79" s="109"/>
      <c r="C79" s="110"/>
      <c r="D79" s="26">
        <f>D72-D74</f>
        <v>275392.4</v>
      </c>
      <c r="E79" s="48">
        <v>14</v>
      </c>
      <c r="F79" s="43"/>
    </row>
    <row r="80" spans="1:6" ht="25.5" customHeight="1">
      <c r="A80" s="108" t="s">
        <v>784</v>
      </c>
      <c r="B80" s="109"/>
      <c r="C80" s="110"/>
      <c r="D80" s="26">
        <f>D70-D71</f>
        <v>31965.196340000024</v>
      </c>
      <c r="E80" s="48">
        <v>15</v>
      </c>
      <c r="F80" s="43"/>
    </row>
    <row r="81" ht="12.75">
      <c r="F81" s="43"/>
    </row>
    <row r="84" spans="1:4" ht="13.5" thickBot="1">
      <c r="A84" s="136" t="s">
        <v>2558</v>
      </c>
      <c r="B84" s="136"/>
      <c r="C84" s="136"/>
      <c r="D84" s="136"/>
    </row>
    <row r="85" spans="1:4" ht="12.75">
      <c r="A85" s="2" t="s">
        <v>1335</v>
      </c>
      <c r="B85" s="3" t="s">
        <v>1336</v>
      </c>
      <c r="C85" s="4" t="s">
        <v>1337</v>
      </c>
      <c r="D85" s="15" t="s">
        <v>1338</v>
      </c>
    </row>
    <row r="86" spans="1:4" ht="13.5" thickBot="1">
      <c r="A86" s="124" t="s">
        <v>1343</v>
      </c>
      <c r="B86" s="124"/>
      <c r="C86" s="124"/>
      <c r="D86" s="25">
        <f>D87+D101+D103+D109+D115+D116</f>
        <v>152169.88</v>
      </c>
    </row>
    <row r="87" spans="1:4" ht="13.5" thickTop="1">
      <c r="A87" s="111" t="s">
        <v>1354</v>
      </c>
      <c r="B87" s="112"/>
      <c r="C87" s="113"/>
      <c r="D87" s="28">
        <f>SUM(D88:D100)</f>
        <v>44879.49</v>
      </c>
    </row>
    <row r="88" spans="1:4" ht="25.5">
      <c r="A88" s="7" t="s">
        <v>1130</v>
      </c>
      <c r="B88" s="29" t="s">
        <v>849</v>
      </c>
      <c r="C88" s="7" t="s">
        <v>1129</v>
      </c>
      <c r="D88" s="30">
        <v>16237</v>
      </c>
    </row>
    <row r="89" spans="1:4" ht="12.75">
      <c r="A89" s="7" t="s">
        <v>1744</v>
      </c>
      <c r="B89" s="29" t="s">
        <v>849</v>
      </c>
      <c r="C89" s="7" t="s">
        <v>1751</v>
      </c>
      <c r="D89" s="30">
        <v>280</v>
      </c>
    </row>
    <row r="90" spans="1:4" ht="12.75">
      <c r="A90" s="7" t="s">
        <v>1744</v>
      </c>
      <c r="B90" s="29" t="s">
        <v>849</v>
      </c>
      <c r="C90" s="7" t="s">
        <v>1752</v>
      </c>
      <c r="D90" s="30">
        <v>1315</v>
      </c>
    </row>
    <row r="91" spans="1:4" ht="12.75">
      <c r="A91" s="7" t="s">
        <v>1784</v>
      </c>
      <c r="B91" s="29" t="s">
        <v>849</v>
      </c>
      <c r="C91" s="7" t="s">
        <v>1883</v>
      </c>
      <c r="D91" s="30">
        <v>1072</v>
      </c>
    </row>
    <row r="92" spans="1:4" ht="12.75">
      <c r="A92" s="7" t="s">
        <v>2183</v>
      </c>
      <c r="B92" s="29" t="s">
        <v>849</v>
      </c>
      <c r="C92" s="7" t="s">
        <v>2174</v>
      </c>
      <c r="D92" s="30">
        <v>94.7</v>
      </c>
    </row>
    <row r="93" spans="1:4" ht="12.75">
      <c r="A93" s="7" t="s">
        <v>101</v>
      </c>
      <c r="B93" s="29" t="s">
        <v>1951</v>
      </c>
      <c r="C93" s="7" t="s">
        <v>104</v>
      </c>
      <c r="D93" s="30">
        <v>153</v>
      </c>
    </row>
    <row r="94" spans="1:4" ht="12.75">
      <c r="A94" s="7" t="s">
        <v>1692</v>
      </c>
      <c r="B94" s="29" t="s">
        <v>1952</v>
      </c>
      <c r="C94" s="7" t="s">
        <v>1694</v>
      </c>
      <c r="D94" s="30">
        <v>374</v>
      </c>
    </row>
    <row r="95" spans="1:4" ht="12.75">
      <c r="A95" s="7" t="s">
        <v>493</v>
      </c>
      <c r="B95" s="29" t="s">
        <v>1952</v>
      </c>
      <c r="C95" s="7" t="s">
        <v>494</v>
      </c>
      <c r="D95" s="30">
        <v>2783</v>
      </c>
    </row>
    <row r="96" spans="1:4" ht="12.75">
      <c r="A96" s="7" t="s">
        <v>497</v>
      </c>
      <c r="B96" s="29" t="s">
        <v>1952</v>
      </c>
      <c r="C96" s="7" t="s">
        <v>498</v>
      </c>
      <c r="D96" s="30">
        <v>15725</v>
      </c>
    </row>
    <row r="97" spans="1:4" ht="12.75">
      <c r="A97" s="7" t="s">
        <v>552</v>
      </c>
      <c r="B97" s="29" t="s">
        <v>1952</v>
      </c>
      <c r="C97" s="7" t="s">
        <v>2200</v>
      </c>
      <c r="D97" s="30">
        <v>7.79</v>
      </c>
    </row>
    <row r="98" spans="1:4" ht="12.75">
      <c r="A98" s="8" t="s">
        <v>2399</v>
      </c>
      <c r="B98" s="29" t="s">
        <v>1953</v>
      </c>
      <c r="C98" s="7" t="s">
        <v>2400</v>
      </c>
      <c r="D98" s="31">
        <v>4064</v>
      </c>
    </row>
    <row r="99" spans="1:4" ht="12.75">
      <c r="A99" s="8" t="s">
        <v>2409</v>
      </c>
      <c r="B99" s="29" t="s">
        <v>1953</v>
      </c>
      <c r="C99" s="7" t="s">
        <v>2411</v>
      </c>
      <c r="D99" s="31">
        <v>887</v>
      </c>
    </row>
    <row r="100" spans="1:4" ht="12.75">
      <c r="A100" s="8" t="s">
        <v>1318</v>
      </c>
      <c r="B100" s="29" t="s">
        <v>1954</v>
      </c>
      <c r="C100" s="7" t="s">
        <v>1319</v>
      </c>
      <c r="D100" s="31">
        <v>1887</v>
      </c>
    </row>
    <row r="101" spans="1:4" ht="12.75">
      <c r="A101" s="117" t="s">
        <v>1342</v>
      </c>
      <c r="B101" s="118"/>
      <c r="C101" s="119"/>
      <c r="D101" s="58">
        <f>SUM(D102:D102)</f>
        <v>2628</v>
      </c>
    </row>
    <row r="102" spans="1:4" ht="12.75">
      <c r="A102" s="7" t="s">
        <v>854</v>
      </c>
      <c r="B102" s="29" t="s">
        <v>849</v>
      </c>
      <c r="C102" s="7" t="s">
        <v>855</v>
      </c>
      <c r="D102" s="16">
        <v>2628</v>
      </c>
    </row>
    <row r="103" spans="1:4" ht="12.75">
      <c r="A103" s="117" t="s">
        <v>1344</v>
      </c>
      <c r="B103" s="118"/>
      <c r="C103" s="119"/>
      <c r="D103" s="58">
        <f>SUM(D104:D108)</f>
        <v>67889.63</v>
      </c>
    </row>
    <row r="104" spans="1:4" ht="12.75">
      <c r="A104" s="7"/>
      <c r="B104" s="29" t="s">
        <v>849</v>
      </c>
      <c r="C104" s="7" t="s">
        <v>1950</v>
      </c>
      <c r="D104" s="16">
        <f>3038.1+2653.53+1403.3+3319.99+1437.52+889.89</f>
        <v>12742.33</v>
      </c>
    </row>
    <row r="105" spans="1:4" ht="12.75">
      <c r="A105" s="7"/>
      <c r="B105" s="29" t="s">
        <v>1951</v>
      </c>
      <c r="C105" s="7" t="s">
        <v>1950</v>
      </c>
      <c r="D105" s="16">
        <f>3038.1+2653.53+1576.74+3730.33+1615.19+999.88</f>
        <v>13613.77</v>
      </c>
    </row>
    <row r="106" spans="1:4" ht="12.75">
      <c r="A106" s="7"/>
      <c r="B106" s="29" t="s">
        <v>1952</v>
      </c>
      <c r="C106" s="7" t="s">
        <v>1950</v>
      </c>
      <c r="D106" s="16">
        <f>3038.1+2653.53+1576.74+3730.33+1615.19+999.88+230.74</f>
        <v>13844.51</v>
      </c>
    </row>
    <row r="107" spans="1:4" ht="12.75">
      <c r="A107" s="7"/>
      <c r="B107" s="29" t="s">
        <v>1953</v>
      </c>
      <c r="C107" s="7" t="s">
        <v>1950</v>
      </c>
      <c r="D107" s="16">
        <f>3038.1+2653.53+1576.74+3730.33+1615.19+999.88+230.74</f>
        <v>13844.51</v>
      </c>
    </row>
    <row r="108" spans="1:4" ht="12.75">
      <c r="A108" s="7"/>
      <c r="B108" s="29" t="s">
        <v>1954</v>
      </c>
      <c r="C108" s="7" t="s">
        <v>1950</v>
      </c>
      <c r="D108" s="16">
        <f>3038.1+2653.53+1576.74+3730.33+1615.19+999.88+230.74</f>
        <v>13844.51</v>
      </c>
    </row>
    <row r="109" spans="1:4" ht="12.75">
      <c r="A109" s="117" t="s">
        <v>1341</v>
      </c>
      <c r="B109" s="118"/>
      <c r="C109" s="119"/>
      <c r="D109" s="58">
        <f>SUM(D110:D114)</f>
        <v>6164</v>
      </c>
    </row>
    <row r="110" spans="1:4" ht="12.75">
      <c r="A110" s="7" t="s">
        <v>864</v>
      </c>
      <c r="B110" s="29" t="s">
        <v>849</v>
      </c>
      <c r="C110" s="7" t="s">
        <v>121</v>
      </c>
      <c r="D110" s="16">
        <v>1525</v>
      </c>
    </row>
    <row r="111" spans="1:4" ht="12.75">
      <c r="A111" s="7" t="s">
        <v>1191</v>
      </c>
      <c r="B111" s="29" t="s">
        <v>849</v>
      </c>
      <c r="C111" s="7" t="s">
        <v>1195</v>
      </c>
      <c r="D111" s="16">
        <v>297</v>
      </c>
    </row>
    <row r="112" spans="1:4" ht="12.75">
      <c r="A112" s="7" t="s">
        <v>1700</v>
      </c>
      <c r="B112" s="29" t="s">
        <v>849</v>
      </c>
      <c r="C112" s="7" t="s">
        <v>1743</v>
      </c>
      <c r="D112" s="16">
        <v>2348</v>
      </c>
    </row>
    <row r="113" spans="1:4" ht="12.75">
      <c r="A113" s="7" t="s">
        <v>522</v>
      </c>
      <c r="B113" s="29" t="s">
        <v>1952</v>
      </c>
      <c r="C113" s="7" t="s">
        <v>525</v>
      </c>
      <c r="D113" s="16">
        <v>299</v>
      </c>
    </row>
    <row r="114" spans="1:4" ht="12.75">
      <c r="A114" s="7" t="s">
        <v>2470</v>
      </c>
      <c r="B114" s="29" t="s">
        <v>1953</v>
      </c>
      <c r="C114" s="7" t="s">
        <v>2471</v>
      </c>
      <c r="D114" s="16">
        <v>1695</v>
      </c>
    </row>
    <row r="115" spans="1:4" ht="12.75">
      <c r="A115" s="6"/>
      <c r="B115" s="6" t="s">
        <v>1356</v>
      </c>
      <c r="C115" s="37" t="s">
        <v>1345</v>
      </c>
      <c r="D115" s="23">
        <f>1.46*3924.2*5</f>
        <v>28646.659999999996</v>
      </c>
    </row>
    <row r="116" spans="1:4" ht="12.75">
      <c r="A116" s="6"/>
      <c r="B116" s="6" t="s">
        <v>1356</v>
      </c>
      <c r="C116" s="37" t="s">
        <v>1357</v>
      </c>
      <c r="D116" s="23">
        <f>0.1*3924.2*5</f>
        <v>1962.1000000000001</v>
      </c>
    </row>
    <row r="117" spans="1:4" ht="13.5" thickBot="1">
      <c r="A117" s="38"/>
      <c r="B117" s="38"/>
      <c r="C117" s="39" t="s">
        <v>1360</v>
      </c>
      <c r="D117" s="40">
        <f>D116+D115+D86</f>
        <v>182778.64</v>
      </c>
    </row>
    <row r="118" spans="1:4" ht="13.5" thickTop="1">
      <c r="A118" s="132" t="s">
        <v>1361</v>
      </c>
      <c r="B118" s="133"/>
      <c r="C118" s="134"/>
      <c r="D118" s="17">
        <f>0.94*3924.2*5</f>
        <v>18443.739999999998</v>
      </c>
    </row>
    <row r="119" spans="1:4" ht="12.75">
      <c r="A119" s="125" t="s">
        <v>1350</v>
      </c>
      <c r="B119" s="126"/>
      <c r="C119" s="127"/>
      <c r="D119" s="16">
        <f>1.57*3924.2*5</f>
        <v>30804.969999999998</v>
      </c>
    </row>
    <row r="120" spans="1:4" ht="12.75">
      <c r="A120" s="125" t="s">
        <v>1362</v>
      </c>
      <c r="B120" s="126"/>
      <c r="C120" s="127"/>
      <c r="D120" s="16">
        <f>D122*10.3/100</f>
        <v>28510.836720000003</v>
      </c>
    </row>
    <row r="121" spans="1:4" ht="12.75">
      <c r="A121" s="120" t="s">
        <v>1363</v>
      </c>
      <c r="B121" s="121"/>
      <c r="C121" s="122"/>
      <c r="D121" s="41">
        <f>D117+D118+D119+D120</f>
        <v>260538.18672</v>
      </c>
    </row>
    <row r="122" spans="1:4" ht="12.75">
      <c r="A122" s="114" t="s">
        <v>1364</v>
      </c>
      <c r="B122" s="115"/>
      <c r="C122" s="116"/>
      <c r="D122" s="18">
        <v>276804.24</v>
      </c>
    </row>
    <row r="123" spans="1:4" ht="12.75">
      <c r="A123" s="114" t="s">
        <v>1365</v>
      </c>
      <c r="B123" s="115"/>
      <c r="C123" s="116"/>
      <c r="D123" s="18">
        <v>40432.08</v>
      </c>
    </row>
    <row r="124" spans="1:4" ht="12.75">
      <c r="A124" s="114" t="s">
        <v>2559</v>
      </c>
      <c r="B124" s="115"/>
      <c r="C124" s="116"/>
      <c r="D124" s="19">
        <v>1228936.88</v>
      </c>
    </row>
    <row r="125" spans="1:4" ht="12.75">
      <c r="A125" s="114" t="s">
        <v>2560</v>
      </c>
      <c r="B125" s="115"/>
      <c r="C125" s="116"/>
      <c r="D125" s="19">
        <v>955711.51</v>
      </c>
    </row>
    <row r="126" spans="1:4" ht="24.75" customHeight="1">
      <c r="A126" s="120" t="s">
        <v>2561</v>
      </c>
      <c r="B126" s="121"/>
      <c r="C126" s="122"/>
      <c r="D126" s="42">
        <f>848914.8+D121</f>
        <v>1109452.98672</v>
      </c>
    </row>
    <row r="127" spans="1:4" ht="12.75">
      <c r="A127" s="114" t="s">
        <v>2562</v>
      </c>
      <c r="B127" s="115"/>
      <c r="C127" s="116"/>
      <c r="D127" s="19">
        <v>180644.14</v>
      </c>
    </row>
    <row r="128" spans="1:4" ht="12.75">
      <c r="A128" s="114" t="s">
        <v>2563</v>
      </c>
      <c r="B128" s="115"/>
      <c r="C128" s="116"/>
      <c r="D128" s="19">
        <v>139673.91</v>
      </c>
    </row>
    <row r="129" spans="1:4" ht="12.75">
      <c r="A129" s="120" t="s">
        <v>2564</v>
      </c>
      <c r="B129" s="121"/>
      <c r="C129" s="122"/>
      <c r="D129" s="42">
        <v>0</v>
      </c>
    </row>
    <row r="130" spans="1:4" ht="12.75">
      <c r="A130" s="114" t="s">
        <v>779</v>
      </c>
      <c r="B130" s="115"/>
      <c r="C130" s="116"/>
      <c r="D130" s="18">
        <v>243471.46</v>
      </c>
    </row>
    <row r="131" spans="1:4" ht="12.75">
      <c r="A131" s="114" t="s">
        <v>780</v>
      </c>
      <c r="B131" s="115"/>
      <c r="C131" s="116"/>
      <c r="D131" s="18">
        <v>35563.25</v>
      </c>
    </row>
    <row r="132" spans="1:4" ht="12.75">
      <c r="A132" s="120" t="s">
        <v>781</v>
      </c>
      <c r="B132" s="121"/>
      <c r="C132" s="122"/>
      <c r="D132" s="41"/>
    </row>
    <row r="133" spans="1:4" ht="24.75" customHeight="1">
      <c r="A133" s="108" t="s">
        <v>2565</v>
      </c>
      <c r="B133" s="109"/>
      <c r="C133" s="110"/>
      <c r="D133" s="26">
        <f>D124-D126</f>
        <v>119483.89327999996</v>
      </c>
    </row>
    <row r="134" spans="1:4" ht="25.5" customHeight="1">
      <c r="A134" s="108" t="s">
        <v>2603</v>
      </c>
      <c r="B134" s="109"/>
      <c r="C134" s="110"/>
      <c r="D134" s="26">
        <f>D127-D129</f>
        <v>180644.14</v>
      </c>
    </row>
    <row r="135" spans="1:4" ht="26.25" customHeight="1">
      <c r="A135" s="108" t="s">
        <v>2604</v>
      </c>
      <c r="B135" s="109"/>
      <c r="C135" s="110"/>
      <c r="D135" s="26">
        <f>D125-D126</f>
        <v>-153741.47671999992</v>
      </c>
    </row>
  </sheetData>
  <sheetProtection/>
  <mergeCells count="49">
    <mergeCell ref="A67:C67"/>
    <mergeCell ref="A34:C34"/>
    <mergeCell ref="A47:C47"/>
    <mergeCell ref="A29:C29"/>
    <mergeCell ref="A66:C66"/>
    <mergeCell ref="A3:C3"/>
    <mergeCell ref="A4:C4"/>
    <mergeCell ref="A64:C64"/>
    <mergeCell ref="A65:C65"/>
    <mergeCell ref="A60:C60"/>
    <mergeCell ref="A50:C50"/>
    <mergeCell ref="A77:C77"/>
    <mergeCell ref="A78:C78"/>
    <mergeCell ref="A69:C69"/>
    <mergeCell ref="A70:C70"/>
    <mergeCell ref="A71:C71"/>
    <mergeCell ref="A72:C72"/>
    <mergeCell ref="A75:C75"/>
    <mergeCell ref="A76:C76"/>
    <mergeCell ref="A74:C74"/>
    <mergeCell ref="A68:C68"/>
    <mergeCell ref="A134:C134"/>
    <mergeCell ref="A135:C135"/>
    <mergeCell ref="A133:C133"/>
    <mergeCell ref="A101:C101"/>
    <mergeCell ref="A103:C103"/>
    <mergeCell ref="A109:C109"/>
    <mergeCell ref="A127:C127"/>
    <mergeCell ref="A118:C118"/>
    <mergeCell ref="A119:C119"/>
    <mergeCell ref="A131:C131"/>
    <mergeCell ref="A132:C132"/>
    <mergeCell ref="A122:C122"/>
    <mergeCell ref="A123:C123"/>
    <mergeCell ref="A124:C124"/>
    <mergeCell ref="A125:C125"/>
    <mergeCell ref="A126:C126"/>
    <mergeCell ref="A130:C130"/>
    <mergeCell ref="A129:C129"/>
    <mergeCell ref="A1:D1"/>
    <mergeCell ref="A84:D84"/>
    <mergeCell ref="A79:C79"/>
    <mergeCell ref="A80:C80"/>
    <mergeCell ref="A73:C73"/>
    <mergeCell ref="A128:C128"/>
    <mergeCell ref="A86:C86"/>
    <mergeCell ref="A87:C87"/>
    <mergeCell ref="A121:C121"/>
    <mergeCell ref="A120:C12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89" sqref="A1:D89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7" customHeight="1" thickBot="1">
      <c r="A1" s="135" t="s">
        <v>1591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D4+D31+D33+D36+D49+D61+D68+D70+D71</f>
        <v>386200.1649999999</v>
      </c>
      <c r="E3" s="45"/>
    </row>
    <row r="4" spans="1:5" ht="13.5" outlineLevel="1" thickTop="1">
      <c r="A4" s="111" t="s">
        <v>1354</v>
      </c>
      <c r="B4" s="112"/>
      <c r="C4" s="113"/>
      <c r="D4" s="28">
        <f>SUM(D5:D30)</f>
        <v>50700.49499999999</v>
      </c>
      <c r="E4" s="46"/>
    </row>
    <row r="5" spans="1:5" ht="12.75" outlineLevel="2">
      <c r="A5" s="7" t="s">
        <v>1096</v>
      </c>
      <c r="B5" s="29" t="s">
        <v>849</v>
      </c>
      <c r="C5" s="7" t="s">
        <v>1114</v>
      </c>
      <c r="D5" s="30">
        <v>1027</v>
      </c>
      <c r="E5" s="46"/>
    </row>
    <row r="6" spans="1:5" ht="12.75" outlineLevel="2">
      <c r="A6" s="7" t="s">
        <v>1755</v>
      </c>
      <c r="B6" s="29" t="s">
        <v>849</v>
      </c>
      <c r="C6" s="7" t="s">
        <v>1773</v>
      </c>
      <c r="D6" s="30">
        <v>284</v>
      </c>
      <c r="E6" s="46"/>
    </row>
    <row r="7" spans="1:5" ht="12.75" outlineLevel="2">
      <c r="A7" s="7" t="s">
        <v>1936</v>
      </c>
      <c r="B7" s="29" t="s">
        <v>849</v>
      </c>
      <c r="C7" s="7" t="s">
        <v>1937</v>
      </c>
      <c r="D7" s="30">
        <v>124</v>
      </c>
      <c r="E7" s="46"/>
    </row>
    <row r="8" spans="1:5" ht="12.75" outlineLevel="2">
      <c r="A8" s="7" t="s">
        <v>2182</v>
      </c>
      <c r="B8" s="29" t="s">
        <v>849</v>
      </c>
      <c r="C8" s="7" t="s">
        <v>2174</v>
      </c>
      <c r="D8" s="30">
        <v>108.22</v>
      </c>
      <c r="E8" s="46"/>
    </row>
    <row r="9" spans="1:5" ht="12.75" outlineLevel="2">
      <c r="A9" s="7" t="s">
        <v>690</v>
      </c>
      <c r="B9" s="29" t="s">
        <v>1951</v>
      </c>
      <c r="C9" s="7" t="s">
        <v>691</v>
      </c>
      <c r="D9" s="30">
        <v>372</v>
      </c>
      <c r="E9" s="46"/>
    </row>
    <row r="10" spans="1:5" ht="12.75" outlineLevel="2">
      <c r="A10" s="7" t="s">
        <v>550</v>
      </c>
      <c r="B10" s="29" t="s">
        <v>1952</v>
      </c>
      <c r="C10" s="7" t="s">
        <v>551</v>
      </c>
      <c r="D10" s="30">
        <v>1334</v>
      </c>
      <c r="E10" s="46"/>
    </row>
    <row r="11" spans="1:5" ht="12.75" outlineLevel="2">
      <c r="A11" s="7" t="s">
        <v>2481</v>
      </c>
      <c r="B11" s="29" t="s">
        <v>1953</v>
      </c>
      <c r="C11" s="7" t="s">
        <v>2482</v>
      </c>
      <c r="D11" s="30">
        <v>1007</v>
      </c>
      <c r="E11" s="46"/>
    </row>
    <row r="12" spans="1:5" ht="12.75" outlineLevel="2">
      <c r="A12" s="7" t="s">
        <v>2520</v>
      </c>
      <c r="B12" s="29" t="s">
        <v>1953</v>
      </c>
      <c r="C12" s="7" t="s">
        <v>2521</v>
      </c>
      <c r="D12" s="30">
        <v>979</v>
      </c>
      <c r="E12" s="46"/>
    </row>
    <row r="13" spans="1:5" ht="12.75" outlineLevel="2">
      <c r="A13" s="7" t="s">
        <v>1315</v>
      </c>
      <c r="B13" s="29" t="s">
        <v>1953</v>
      </c>
      <c r="C13" s="7" t="s">
        <v>666</v>
      </c>
      <c r="D13" s="30">
        <v>36.8</v>
      </c>
      <c r="E13" s="46"/>
    </row>
    <row r="14" spans="1:5" ht="12.75" outlineLevel="2">
      <c r="A14" s="8" t="s">
        <v>2786</v>
      </c>
      <c r="B14" s="29" t="s">
        <v>1954</v>
      </c>
      <c r="C14" s="8" t="s">
        <v>1328</v>
      </c>
      <c r="D14" s="31">
        <v>189.4</v>
      </c>
      <c r="E14" s="46"/>
    </row>
    <row r="15" spans="1:5" ht="12.75" outlineLevel="2">
      <c r="A15" s="8" t="s">
        <v>1044</v>
      </c>
      <c r="B15" s="29" t="s">
        <v>1955</v>
      </c>
      <c r="C15" s="8" t="s">
        <v>1046</v>
      </c>
      <c r="D15" s="31">
        <v>232</v>
      </c>
      <c r="E15" s="46"/>
    </row>
    <row r="16" spans="1:5" ht="12.75" outlineLevel="2">
      <c r="A16" s="8" t="s">
        <v>2726</v>
      </c>
      <c r="B16" s="29" t="s">
        <v>1957</v>
      </c>
      <c r="C16" s="8" t="s">
        <v>2727</v>
      </c>
      <c r="D16" s="31">
        <v>1246</v>
      </c>
      <c r="E16" s="46"/>
    </row>
    <row r="17" spans="1:5" ht="12.75" outlineLevel="2">
      <c r="A17" s="8" t="s">
        <v>1765</v>
      </c>
      <c r="B17" s="29" t="s">
        <v>1958</v>
      </c>
      <c r="C17" s="8" t="s">
        <v>438</v>
      </c>
      <c r="D17" s="31">
        <v>6554</v>
      </c>
      <c r="E17" s="46"/>
    </row>
    <row r="18" spans="1:5" ht="12.75" outlineLevel="2">
      <c r="A18" s="8" t="s">
        <v>2145</v>
      </c>
      <c r="B18" s="29" t="s">
        <v>1959</v>
      </c>
      <c r="C18" s="8" t="s">
        <v>2146</v>
      </c>
      <c r="D18" s="31">
        <v>8264</v>
      </c>
      <c r="E18" s="46"/>
    </row>
    <row r="19" spans="1:5" ht="12.75" outlineLevel="2">
      <c r="A19" s="8" t="s">
        <v>10</v>
      </c>
      <c r="B19" s="29" t="s">
        <v>1960</v>
      </c>
      <c r="C19" s="8" t="s">
        <v>2727</v>
      </c>
      <c r="D19" s="31">
        <v>1591.03</v>
      </c>
      <c r="E19" s="46"/>
    </row>
    <row r="20" spans="1:5" ht="12.75" outlineLevel="2">
      <c r="A20" s="8" t="s">
        <v>839</v>
      </c>
      <c r="B20" s="29" t="s">
        <v>1960</v>
      </c>
      <c r="C20" s="8" t="s">
        <v>840</v>
      </c>
      <c r="D20" s="31">
        <v>12319.84</v>
      </c>
      <c r="E20" s="46"/>
    </row>
    <row r="21" spans="1:5" ht="12.75" outlineLevel="2">
      <c r="A21" s="55" t="s">
        <v>904</v>
      </c>
      <c r="B21" s="29" t="s">
        <v>1958</v>
      </c>
      <c r="C21" s="55" t="s">
        <v>908</v>
      </c>
      <c r="D21" s="31">
        <v>2593</v>
      </c>
      <c r="E21" s="46"/>
    </row>
    <row r="22" spans="1:5" ht="12.75" outlineLevel="2">
      <c r="A22" s="8" t="s">
        <v>932</v>
      </c>
      <c r="B22" s="29" t="s">
        <v>1960</v>
      </c>
      <c r="C22" s="8" t="s">
        <v>921</v>
      </c>
      <c r="D22" s="31">
        <v>4545.6</v>
      </c>
      <c r="E22" s="46"/>
    </row>
    <row r="23" spans="1:5" ht="12.75" outlineLevel="2">
      <c r="A23" s="8" t="s">
        <v>754</v>
      </c>
      <c r="B23" s="29" t="s">
        <v>1961</v>
      </c>
      <c r="C23" s="55" t="s">
        <v>2238</v>
      </c>
      <c r="D23" s="31">
        <v>3303</v>
      </c>
      <c r="E23" s="46"/>
    </row>
    <row r="24" spans="1:5" ht="12.75" outlineLevel="2">
      <c r="A24" s="8" t="s">
        <v>1503</v>
      </c>
      <c r="B24" s="29" t="s">
        <v>1961</v>
      </c>
      <c r="C24" s="8" t="s">
        <v>1504</v>
      </c>
      <c r="D24" s="31">
        <v>2730.1</v>
      </c>
      <c r="E24" s="46"/>
    </row>
    <row r="25" spans="1:5" ht="12.75" outlineLevel="2">
      <c r="A25" s="8" t="s">
        <v>1517</v>
      </c>
      <c r="B25" s="52" t="s">
        <v>1961</v>
      </c>
      <c r="C25" s="55" t="s">
        <v>1516</v>
      </c>
      <c r="D25" s="31">
        <v>18.4</v>
      </c>
      <c r="E25" s="46"/>
    </row>
    <row r="26" spans="1:5" ht="25.5" outlineLevel="2">
      <c r="A26" s="8" t="s">
        <v>1635</v>
      </c>
      <c r="B26" s="52" t="s">
        <v>1961</v>
      </c>
      <c r="C26" s="55" t="s">
        <v>1516</v>
      </c>
      <c r="D26" s="31">
        <v>36.79</v>
      </c>
      <c r="E26" s="46"/>
    </row>
    <row r="27" spans="1:5" ht="25.5" outlineLevel="2">
      <c r="A27" s="8" t="s">
        <v>1636</v>
      </c>
      <c r="B27" s="52" t="s">
        <v>1961</v>
      </c>
      <c r="C27" s="55" t="s">
        <v>1516</v>
      </c>
      <c r="D27" s="31">
        <v>128.77</v>
      </c>
      <c r="E27" s="46"/>
    </row>
    <row r="28" spans="1:5" ht="12.75" outlineLevel="2">
      <c r="A28" s="8" t="s">
        <v>1637</v>
      </c>
      <c r="B28" s="52" t="s">
        <v>1961</v>
      </c>
      <c r="C28" s="55" t="s">
        <v>1516</v>
      </c>
      <c r="D28" s="31">
        <v>18.4</v>
      </c>
      <c r="E28" s="46"/>
    </row>
    <row r="29" spans="1:5" ht="25.5" outlineLevel="2">
      <c r="A29" s="8" t="s">
        <v>1653</v>
      </c>
      <c r="B29" s="29" t="s">
        <v>1961</v>
      </c>
      <c r="C29" s="55" t="s">
        <v>2727</v>
      </c>
      <c r="D29" s="84">
        <v>1566.28</v>
      </c>
      <c r="E29" s="46"/>
    </row>
    <row r="30" spans="1:5" ht="25.5" outlineLevel="2">
      <c r="A30" s="8" t="s">
        <v>1564</v>
      </c>
      <c r="B30" s="29" t="s">
        <v>1961</v>
      </c>
      <c r="C30" s="8" t="s">
        <v>1550</v>
      </c>
      <c r="D30" s="31">
        <v>91.865</v>
      </c>
      <c r="E30" s="46"/>
    </row>
    <row r="31" spans="1:5" ht="12.75" outlineLevel="1">
      <c r="A31" s="117" t="s">
        <v>1340</v>
      </c>
      <c r="B31" s="118"/>
      <c r="C31" s="119"/>
      <c r="D31" s="28">
        <f>SUM(D32:D32)</f>
        <v>21727</v>
      </c>
      <c r="E31" s="46"/>
    </row>
    <row r="32" spans="1:5" ht="25.5" outlineLevel="2">
      <c r="A32" s="9" t="s">
        <v>2428</v>
      </c>
      <c r="B32" s="29" t="s">
        <v>1953</v>
      </c>
      <c r="C32" s="7" t="s">
        <v>2429</v>
      </c>
      <c r="D32" s="30">
        <v>21727</v>
      </c>
      <c r="E32" s="46"/>
    </row>
    <row r="33" spans="1:5" ht="12.75" outlineLevel="1">
      <c r="A33" s="117" t="s">
        <v>1342</v>
      </c>
      <c r="B33" s="118"/>
      <c r="C33" s="119"/>
      <c r="D33" s="28">
        <f>SUM(D34:D35)</f>
        <v>14535</v>
      </c>
      <c r="E33" s="46"/>
    </row>
    <row r="34" spans="1:5" ht="12.75" outlineLevel="2">
      <c r="A34" s="7" t="s">
        <v>2528</v>
      </c>
      <c r="B34" s="29" t="s">
        <v>1953</v>
      </c>
      <c r="C34" s="7" t="s">
        <v>2529</v>
      </c>
      <c r="D34" s="30">
        <v>1516</v>
      </c>
      <c r="E34" s="46"/>
    </row>
    <row r="35" spans="1:5" ht="12.75" outlineLevel="2">
      <c r="A35" s="7" t="s">
        <v>896</v>
      </c>
      <c r="B35" s="29" t="s">
        <v>1958</v>
      </c>
      <c r="C35" s="51" t="s">
        <v>1220</v>
      </c>
      <c r="D35" s="30">
        <v>13019</v>
      </c>
      <c r="E35" s="46"/>
    </row>
    <row r="36" spans="1:5" ht="12.75" outlineLevel="1">
      <c r="A36" s="117" t="s">
        <v>1344</v>
      </c>
      <c r="B36" s="118"/>
      <c r="C36" s="119"/>
      <c r="D36" s="28">
        <f>SUM(D37:D48)</f>
        <v>155321.86999999997</v>
      </c>
      <c r="E36" s="46"/>
    </row>
    <row r="37" spans="1:5" ht="12.75" outlineLevel="2">
      <c r="A37" s="7"/>
      <c r="B37" s="29" t="s">
        <v>849</v>
      </c>
      <c r="C37" s="7" t="s">
        <v>1969</v>
      </c>
      <c r="D37" s="30">
        <f>2682.58+2338.66+944.75+2212.09+921.71+795.83+2132.3</f>
        <v>12027.920000000002</v>
      </c>
      <c r="E37" s="46"/>
    </row>
    <row r="38" spans="1:5" ht="12.75" outlineLevel="2">
      <c r="A38" s="7"/>
      <c r="B38" s="29" t="s">
        <v>1951</v>
      </c>
      <c r="C38" s="7" t="s">
        <v>1969</v>
      </c>
      <c r="D38" s="30">
        <f>2682.58+2338.66+68.78+1410.07+3301.63+1375.68+894.19+2132.3</f>
        <v>14203.89</v>
      </c>
      <c r="E38" s="46"/>
    </row>
    <row r="39" spans="1:5" ht="12.75" outlineLevel="2">
      <c r="A39" s="7"/>
      <c r="B39" s="29" t="s">
        <v>1952</v>
      </c>
      <c r="C39" s="7" t="s">
        <v>1969</v>
      </c>
      <c r="D39" s="30">
        <f>2682.58+2338.66+1410.07+3301.63+1375.68+894.19+2132.03+206.35+68.78</f>
        <v>14409.970000000001</v>
      </c>
      <c r="E39" s="46"/>
    </row>
    <row r="40" spans="1:5" ht="12.75" outlineLevel="2">
      <c r="A40" s="7"/>
      <c r="B40" s="29" t="s">
        <v>1953</v>
      </c>
      <c r="C40" s="7" t="s">
        <v>1969</v>
      </c>
      <c r="D40" s="30">
        <f>2682.58+2080.72+68.78+2026.03+561.97+894.19+2132.3+177.46</f>
        <v>10624.029999999999</v>
      </c>
      <c r="E40" s="46"/>
    </row>
    <row r="41" spans="1:5" ht="12.75" outlineLevel="2">
      <c r="A41" s="7"/>
      <c r="B41" s="29" t="s">
        <v>1954</v>
      </c>
      <c r="C41" s="7" t="s">
        <v>1969</v>
      </c>
      <c r="D41" s="30">
        <f>2360.67+1640.5+60.53+2705.27+705.72+825.41+2132.3+196.03+515.88</f>
        <v>11142.310000000001</v>
      </c>
      <c r="E41" s="46"/>
    </row>
    <row r="42" spans="1:5" ht="12.75" outlineLevel="2">
      <c r="A42" s="7"/>
      <c r="B42" s="29" t="s">
        <v>1955</v>
      </c>
      <c r="C42" s="7" t="s">
        <v>1969</v>
      </c>
      <c r="D42" s="30">
        <f>1341.29+911.39+34.39+1403.19+371.43+412.7+1066.15</f>
        <v>5540.539999999999</v>
      </c>
      <c r="E42" s="46"/>
    </row>
    <row r="43" spans="1:5" ht="12.75" outlineLevel="2">
      <c r="A43" s="7"/>
      <c r="B43" s="29" t="s">
        <v>1956</v>
      </c>
      <c r="C43" s="7" t="s">
        <v>1969</v>
      </c>
      <c r="D43" s="30">
        <f>2992.1+2096.13+68.78+2613.79+687.84+464.29+2373.05</f>
        <v>11295.98</v>
      </c>
      <c r="E43" s="46"/>
    </row>
    <row r="44" spans="1:5" ht="12.75" outlineLevel="2">
      <c r="A44" s="7"/>
      <c r="B44" s="29" t="s">
        <v>1957</v>
      </c>
      <c r="C44" s="7" t="s">
        <v>1969</v>
      </c>
      <c r="D44" s="30">
        <f>2992.1+2029.13+68.78+5227.58+1375.68+928.58+2373.05</f>
        <v>14994.900000000001</v>
      </c>
      <c r="E44" s="46"/>
    </row>
    <row r="45" spans="1:5" ht="12.75" outlineLevel="2">
      <c r="A45" s="7"/>
      <c r="B45" s="29" t="s">
        <v>1958</v>
      </c>
      <c r="C45" s="7" t="s">
        <v>1969</v>
      </c>
      <c r="D45" s="30">
        <f>2992.1+2029.13+68.78+5227.58+1375.68+928.58+2373.05</f>
        <v>14994.900000000001</v>
      </c>
      <c r="E45" s="46"/>
    </row>
    <row r="46" spans="1:5" ht="12.75" outlineLevel="2">
      <c r="A46" s="7"/>
      <c r="B46" s="29" t="s">
        <v>1959</v>
      </c>
      <c r="C46" s="7" t="s">
        <v>1969</v>
      </c>
      <c r="D46" s="30">
        <f>2992.1+2029.13+68.78+5277.58+1375.68+399.29+2373.05</f>
        <v>14515.61</v>
      </c>
      <c r="E46" s="46"/>
    </row>
    <row r="47" spans="1:5" ht="12.75" outlineLevel="2">
      <c r="A47" s="7"/>
      <c r="B47" s="29" t="s">
        <v>1960</v>
      </c>
      <c r="C47" s="7" t="s">
        <v>1969</v>
      </c>
      <c r="D47" s="30">
        <f>2992.1+2613.79+68.78+1582.03+3679.94+1547.64+928.58+2373.05</f>
        <v>15785.91</v>
      </c>
      <c r="E47" s="46"/>
    </row>
    <row r="48" spans="1:5" ht="12.75" outlineLevel="2">
      <c r="A48" s="11"/>
      <c r="B48" s="29" t="s">
        <v>1961</v>
      </c>
      <c r="C48" s="7" t="s">
        <v>1969</v>
      </c>
      <c r="D48" s="30">
        <f>2992.1+2613.79+68.78+1582.03+3679.94+1547.64+928.58+2373.05</f>
        <v>15785.91</v>
      </c>
      <c r="E48" s="46"/>
    </row>
    <row r="49" spans="1:5" ht="12.75" outlineLevel="1">
      <c r="A49" s="117" t="s">
        <v>1346</v>
      </c>
      <c r="B49" s="118"/>
      <c r="C49" s="119"/>
      <c r="D49" s="28">
        <f>SUM(D50:D60)</f>
        <v>15219.68</v>
      </c>
      <c r="E49" s="46"/>
    </row>
    <row r="50" spans="1:5" ht="12.75" outlineLevel="2">
      <c r="A50" s="7" t="s">
        <v>2059</v>
      </c>
      <c r="B50" s="29" t="s">
        <v>849</v>
      </c>
      <c r="C50" s="7" t="s">
        <v>2056</v>
      </c>
      <c r="D50" s="30">
        <v>2160</v>
      </c>
      <c r="E50" s="46"/>
    </row>
    <row r="51" spans="1:5" ht="12.75" outlineLevel="2">
      <c r="A51" s="7" t="s">
        <v>2366</v>
      </c>
      <c r="B51" s="29" t="s">
        <v>1952</v>
      </c>
      <c r="C51" s="7" t="s">
        <v>2361</v>
      </c>
      <c r="D51" s="30">
        <v>3744</v>
      </c>
      <c r="E51" s="46"/>
    </row>
    <row r="52" spans="1:5" ht="12.75" customHeight="1" outlineLevel="2">
      <c r="A52" s="51" t="s">
        <v>2241</v>
      </c>
      <c r="B52" s="29" t="s">
        <v>1952</v>
      </c>
      <c r="C52" s="51" t="s">
        <v>2393</v>
      </c>
      <c r="D52" s="30">
        <v>400</v>
      </c>
      <c r="E52" s="46"/>
    </row>
    <row r="53" spans="1:5" ht="12.75" customHeight="1" outlineLevel="2">
      <c r="A53" s="51" t="s">
        <v>2241</v>
      </c>
      <c r="B53" s="29" t="s">
        <v>1952</v>
      </c>
      <c r="C53" s="7" t="s">
        <v>2389</v>
      </c>
      <c r="D53" s="30">
        <v>39</v>
      </c>
      <c r="E53" s="46"/>
    </row>
    <row r="54" spans="1:5" ht="12.75" customHeight="1" outlineLevel="2">
      <c r="A54" s="51" t="s">
        <v>2241</v>
      </c>
      <c r="B54" s="29" t="s">
        <v>1952</v>
      </c>
      <c r="C54" s="7" t="s">
        <v>2390</v>
      </c>
      <c r="D54" s="30">
        <v>233.33</v>
      </c>
      <c r="E54" s="46"/>
    </row>
    <row r="55" spans="1:5" ht="12.75" customHeight="1" outlineLevel="2">
      <c r="A55" s="51" t="s">
        <v>2240</v>
      </c>
      <c r="B55" s="29" t="s">
        <v>1952</v>
      </c>
      <c r="C55" s="7" t="s">
        <v>2393</v>
      </c>
      <c r="D55" s="30">
        <v>200</v>
      </c>
      <c r="E55" s="46"/>
    </row>
    <row r="56" spans="1:5" ht="12.75" customHeight="1" outlineLevel="2">
      <c r="A56" s="51" t="s">
        <v>2240</v>
      </c>
      <c r="B56" s="29" t="s">
        <v>1952</v>
      </c>
      <c r="C56" s="7" t="s">
        <v>2394</v>
      </c>
      <c r="D56" s="30">
        <v>19.5</v>
      </c>
      <c r="E56" s="46"/>
    </row>
    <row r="57" spans="1:5" ht="12.75" customHeight="1" outlineLevel="2">
      <c r="A57" s="51" t="s">
        <v>2240</v>
      </c>
      <c r="B57" s="29" t="s">
        <v>1952</v>
      </c>
      <c r="C57" s="7" t="s">
        <v>2390</v>
      </c>
      <c r="D57" s="30">
        <v>350</v>
      </c>
      <c r="E57" s="46"/>
    </row>
    <row r="58" spans="1:5" ht="12.75" outlineLevel="2">
      <c r="A58" s="7" t="s">
        <v>1701</v>
      </c>
      <c r="B58" s="29" t="s">
        <v>1957</v>
      </c>
      <c r="C58" s="7" t="s">
        <v>1702</v>
      </c>
      <c r="D58" s="30">
        <v>1565</v>
      </c>
      <c r="E58" s="46"/>
    </row>
    <row r="59" spans="1:5" ht="12.75" outlineLevel="2">
      <c r="A59" s="7" t="s">
        <v>459</v>
      </c>
      <c r="B59" s="29" t="s">
        <v>1958</v>
      </c>
      <c r="C59" s="7" t="s">
        <v>709</v>
      </c>
      <c r="D59" s="30">
        <v>6119.65</v>
      </c>
      <c r="E59" s="46"/>
    </row>
    <row r="60" spans="1:5" ht="12.75" outlineLevel="2">
      <c r="A60" s="51" t="s">
        <v>220</v>
      </c>
      <c r="B60" s="52" t="s">
        <v>1961</v>
      </c>
      <c r="C60" s="51" t="s">
        <v>221</v>
      </c>
      <c r="D60" s="30">
        <v>389.2</v>
      </c>
      <c r="E60" s="46"/>
    </row>
    <row r="61" spans="1:5" ht="12.75" outlineLevel="1">
      <c r="A61" s="117" t="s">
        <v>1341</v>
      </c>
      <c r="B61" s="118"/>
      <c r="C61" s="119"/>
      <c r="D61" s="28">
        <f>SUM(D62:D67)</f>
        <v>56795.52</v>
      </c>
      <c r="E61" s="46"/>
    </row>
    <row r="62" spans="1:5" ht="12.75" outlineLevel="2">
      <c r="A62" s="7" t="s">
        <v>2807</v>
      </c>
      <c r="B62" s="29" t="s">
        <v>1951</v>
      </c>
      <c r="C62" s="7" t="s">
        <v>2808</v>
      </c>
      <c r="D62" s="30">
        <v>4237</v>
      </c>
      <c r="E62" s="46"/>
    </row>
    <row r="63" spans="1:5" ht="12.75" outlineLevel="2">
      <c r="A63" s="51" t="s">
        <v>675</v>
      </c>
      <c r="B63" s="52" t="s">
        <v>1951</v>
      </c>
      <c r="C63" s="51" t="s">
        <v>676</v>
      </c>
      <c r="D63" s="30">
        <v>740</v>
      </c>
      <c r="E63" s="46"/>
    </row>
    <row r="64" spans="1:5" ht="12.75" outlineLevel="2">
      <c r="A64" s="7" t="s">
        <v>541</v>
      </c>
      <c r="B64" s="29" t="s">
        <v>1952</v>
      </c>
      <c r="C64" s="7" t="s">
        <v>542</v>
      </c>
      <c r="D64" s="30">
        <v>49960</v>
      </c>
      <c r="E64" s="46"/>
    </row>
    <row r="65" spans="1:5" ht="12.75" outlineLevel="2">
      <c r="A65" s="7" t="s">
        <v>2464</v>
      </c>
      <c r="B65" s="29" t="s">
        <v>1953</v>
      </c>
      <c r="C65" s="7" t="s">
        <v>2465</v>
      </c>
      <c r="D65" s="30">
        <v>100</v>
      </c>
      <c r="E65" s="46"/>
    </row>
    <row r="66" spans="1:5" ht="12.75" outlineLevel="2">
      <c r="A66" s="7" t="s">
        <v>1260</v>
      </c>
      <c r="B66" s="29" t="s">
        <v>1954</v>
      </c>
      <c r="C66" s="7" t="s">
        <v>1261</v>
      </c>
      <c r="D66" s="30">
        <v>333</v>
      </c>
      <c r="E66" s="46"/>
    </row>
    <row r="67" spans="1:5" ht="12.75" outlineLevel="2">
      <c r="A67" s="7" t="s">
        <v>2020</v>
      </c>
      <c r="B67" s="29" t="s">
        <v>1960</v>
      </c>
      <c r="C67" s="7" t="s">
        <v>2021</v>
      </c>
      <c r="D67" s="30">
        <v>1425.52</v>
      </c>
      <c r="E67" s="46"/>
    </row>
    <row r="68" spans="1:5" ht="12.75" outlineLevel="1">
      <c r="A68" s="117" t="s">
        <v>1347</v>
      </c>
      <c r="B68" s="118"/>
      <c r="C68" s="119"/>
      <c r="D68" s="28">
        <f>SUM(D69:D69)</f>
        <v>3804.44</v>
      </c>
      <c r="E68" s="46"/>
    </row>
    <row r="69" spans="1:5" ht="12.75" outlineLevel="2">
      <c r="A69" s="11"/>
      <c r="B69" s="29"/>
      <c r="C69" s="7" t="s">
        <v>239</v>
      </c>
      <c r="D69" s="30">
        <f>3804.44</f>
        <v>3804.44</v>
      </c>
      <c r="E69" s="46"/>
    </row>
    <row r="70" spans="1:6" ht="12.75">
      <c r="A70" s="6">
        <v>3439.2</v>
      </c>
      <c r="B70" s="6" t="s">
        <v>1356</v>
      </c>
      <c r="C70" s="37" t="s">
        <v>1345</v>
      </c>
      <c r="D70" s="23">
        <f>(3439.2*6*1.46)+(3439.2*6*1.63)</f>
        <v>63762.768</v>
      </c>
      <c r="E70" s="46"/>
      <c r="F70" s="37" t="s">
        <v>1352</v>
      </c>
    </row>
    <row r="71" spans="1:6" ht="13.5" thickBot="1">
      <c r="A71" s="6">
        <v>3439.2</v>
      </c>
      <c r="B71" s="6" t="s">
        <v>1356</v>
      </c>
      <c r="C71" s="37" t="s">
        <v>1357</v>
      </c>
      <c r="D71" s="23">
        <f>(3439.2*6*0.1)+(3439.2*6*0.11)</f>
        <v>4333.392</v>
      </c>
      <c r="E71" s="46"/>
      <c r="F71" s="37" t="s">
        <v>1351</v>
      </c>
    </row>
    <row r="72" spans="1:6" ht="12.75" customHeight="1" thickTop="1">
      <c r="A72" s="132" t="s">
        <v>1361</v>
      </c>
      <c r="B72" s="133"/>
      <c r="C72" s="134"/>
      <c r="D72" s="67">
        <f>(3439.2*6*0.94)+(3439.2*6*1.03)</f>
        <v>40651.344</v>
      </c>
      <c r="E72" s="48"/>
      <c r="F72" s="14" t="s">
        <v>787</v>
      </c>
    </row>
    <row r="73" spans="1:6" ht="12.75" customHeight="1">
      <c r="A73" s="125" t="s">
        <v>1350</v>
      </c>
      <c r="B73" s="126"/>
      <c r="C73" s="127"/>
      <c r="D73" s="67">
        <f>(3439.2*6*1.57)+(3439.2*6*1.75)</f>
        <v>68508.86399999999</v>
      </c>
      <c r="E73" s="48"/>
      <c r="F73" s="14" t="s">
        <v>788</v>
      </c>
    </row>
    <row r="74" spans="1:6" ht="12.75" customHeight="1">
      <c r="A74" s="125" t="s">
        <v>1362</v>
      </c>
      <c r="B74" s="126"/>
      <c r="C74" s="127"/>
      <c r="D74" s="16">
        <f>10.3*(D76+D77)/100</f>
        <v>99044.77734000002</v>
      </c>
      <c r="E74" s="48"/>
      <c r="F74" s="14" t="s">
        <v>789</v>
      </c>
    </row>
    <row r="75" spans="1:6" ht="12.75" customHeight="1">
      <c r="A75" s="120" t="s">
        <v>1363</v>
      </c>
      <c r="B75" s="121"/>
      <c r="C75" s="122"/>
      <c r="D75" s="41">
        <f>D74+D73+D3</f>
        <v>553753.8063399999</v>
      </c>
      <c r="E75" s="48">
        <v>1</v>
      </c>
      <c r="F75" s="14" t="s">
        <v>790</v>
      </c>
    </row>
    <row r="76" spans="1:6" ht="12.75" customHeight="1">
      <c r="A76" s="114" t="s">
        <v>1364</v>
      </c>
      <c r="B76" s="115"/>
      <c r="C76" s="116"/>
      <c r="D76" s="18">
        <v>848106.18</v>
      </c>
      <c r="E76" s="48">
        <v>2</v>
      </c>
      <c r="F76" s="27"/>
    </row>
    <row r="77" spans="1:6" ht="12.75" customHeight="1">
      <c r="A77" s="114" t="s">
        <v>1365</v>
      </c>
      <c r="B77" s="115"/>
      <c r="C77" s="116"/>
      <c r="D77" s="18">
        <v>113493.6</v>
      </c>
      <c r="E77" s="48">
        <v>3</v>
      </c>
      <c r="F77" s="37" t="s">
        <v>1352</v>
      </c>
    </row>
    <row r="78" spans="1:6" ht="12.75" customHeight="1">
      <c r="A78" s="114" t="s">
        <v>1366</v>
      </c>
      <c r="B78" s="115"/>
      <c r="C78" s="116"/>
      <c r="D78" s="19">
        <f>923425.68+D76</f>
        <v>1771531.86</v>
      </c>
      <c r="E78" s="48">
        <v>4</v>
      </c>
      <c r="F78" s="37" t="s">
        <v>791</v>
      </c>
    </row>
    <row r="79" spans="1:6" ht="13.5" customHeight="1">
      <c r="A79" s="114" t="s">
        <v>1367</v>
      </c>
      <c r="B79" s="115"/>
      <c r="C79" s="116"/>
      <c r="D79" s="19">
        <f>571685.39+D84</f>
        <v>1237783.3599999999</v>
      </c>
      <c r="E79" s="48">
        <v>5</v>
      </c>
      <c r="F79" s="14" t="s">
        <v>843</v>
      </c>
    </row>
    <row r="80" spans="1:6" ht="25.5" customHeight="1">
      <c r="A80" s="120" t="s">
        <v>1368</v>
      </c>
      <c r="B80" s="121"/>
      <c r="C80" s="122"/>
      <c r="D80" s="42">
        <f>644905.42+D75</f>
        <v>1198659.22634</v>
      </c>
      <c r="E80" s="48">
        <v>6</v>
      </c>
      <c r="F80" s="14" t="s">
        <v>844</v>
      </c>
    </row>
    <row r="81" spans="1:6" ht="12.75" customHeight="1">
      <c r="A81" s="114" t="s">
        <v>776</v>
      </c>
      <c r="B81" s="115"/>
      <c r="C81" s="116"/>
      <c r="D81" s="19">
        <f>123329.7+D77</f>
        <v>236823.3</v>
      </c>
      <c r="E81" s="48">
        <v>7</v>
      </c>
      <c r="F81" s="14" t="s">
        <v>845</v>
      </c>
    </row>
    <row r="82" spans="1:6" ht="12.75" customHeight="1">
      <c r="A82" s="114" t="s">
        <v>777</v>
      </c>
      <c r="B82" s="115"/>
      <c r="C82" s="116"/>
      <c r="D82" s="19">
        <f>81122.35+D85</f>
        <v>170259.61</v>
      </c>
      <c r="E82" s="48">
        <v>8</v>
      </c>
      <c r="F82" s="14" t="s">
        <v>787</v>
      </c>
    </row>
    <row r="83" spans="1:6" ht="12.75" customHeight="1">
      <c r="A83" s="120" t="s">
        <v>778</v>
      </c>
      <c r="B83" s="121"/>
      <c r="C83" s="122"/>
      <c r="D83" s="42">
        <v>0</v>
      </c>
      <c r="E83" s="48">
        <v>9</v>
      </c>
      <c r="F83" s="14" t="s">
        <v>846</v>
      </c>
    </row>
    <row r="84" spans="1:6" ht="12.75" customHeight="1">
      <c r="A84" s="114" t="s">
        <v>779</v>
      </c>
      <c r="B84" s="115"/>
      <c r="C84" s="116"/>
      <c r="D84" s="18">
        <v>666097.97</v>
      </c>
      <c r="E84" s="48">
        <v>10</v>
      </c>
      <c r="F84" s="14" t="s">
        <v>847</v>
      </c>
    </row>
    <row r="85" spans="1:6" ht="12.75" customHeight="1">
      <c r="A85" s="114" t="s">
        <v>780</v>
      </c>
      <c r="B85" s="115"/>
      <c r="C85" s="116"/>
      <c r="D85" s="18">
        <v>89137.26</v>
      </c>
      <c r="E85" s="48">
        <v>11</v>
      </c>
      <c r="F85" s="14" t="s">
        <v>848</v>
      </c>
    </row>
    <row r="86" spans="1:6" ht="12.75" customHeight="1">
      <c r="A86" s="120" t="s">
        <v>781</v>
      </c>
      <c r="B86" s="121"/>
      <c r="C86" s="122"/>
      <c r="D86" s="41">
        <v>0</v>
      </c>
      <c r="E86" s="48">
        <v>12</v>
      </c>
      <c r="F86" s="43"/>
    </row>
    <row r="87" spans="1:6" ht="27" customHeight="1">
      <c r="A87" s="108" t="s">
        <v>782</v>
      </c>
      <c r="B87" s="109"/>
      <c r="C87" s="110"/>
      <c r="D87" s="26">
        <f>D78-D80</f>
        <v>572872.63366</v>
      </c>
      <c r="E87" s="48">
        <v>13</v>
      </c>
      <c r="F87" s="43"/>
    </row>
    <row r="88" spans="1:6" ht="25.5" customHeight="1">
      <c r="A88" s="108" t="s">
        <v>783</v>
      </c>
      <c r="B88" s="109"/>
      <c r="C88" s="110"/>
      <c r="D88" s="26">
        <f>D81-D83</f>
        <v>236823.3</v>
      </c>
      <c r="E88" s="48">
        <v>14</v>
      </c>
      <c r="F88" s="43"/>
    </row>
    <row r="89" spans="1:6" ht="25.5" customHeight="1">
      <c r="A89" s="108" t="s">
        <v>784</v>
      </c>
      <c r="B89" s="109"/>
      <c r="C89" s="110"/>
      <c r="D89" s="26">
        <f>D79-D80</f>
        <v>39124.13365999982</v>
      </c>
      <c r="E89" s="48">
        <v>15</v>
      </c>
      <c r="F89" s="43"/>
    </row>
    <row r="90" ht="12.75">
      <c r="F90" s="43"/>
    </row>
  </sheetData>
  <sheetProtection/>
  <mergeCells count="27">
    <mergeCell ref="A78:C78"/>
    <mergeCell ref="A79:C79"/>
    <mergeCell ref="A36:C36"/>
    <mergeCell ref="A49:C49"/>
    <mergeCell ref="A61:C61"/>
    <mergeCell ref="A73:C73"/>
    <mergeCell ref="A68:C68"/>
    <mergeCell ref="A89:C89"/>
    <mergeCell ref="A82:C82"/>
    <mergeCell ref="A72:C72"/>
    <mergeCell ref="A3:C3"/>
    <mergeCell ref="A80:C80"/>
    <mergeCell ref="A4:C4"/>
    <mergeCell ref="A81:C81"/>
    <mergeCell ref="A86:C86"/>
    <mergeCell ref="A83:C83"/>
    <mergeCell ref="A84:C84"/>
    <mergeCell ref="A1:D1"/>
    <mergeCell ref="A76:C76"/>
    <mergeCell ref="A87:C87"/>
    <mergeCell ref="A88:C88"/>
    <mergeCell ref="A85:C85"/>
    <mergeCell ref="A74:C74"/>
    <mergeCell ref="A75:C75"/>
    <mergeCell ref="A31:C31"/>
    <mergeCell ref="A33:C33"/>
    <mergeCell ref="A77:C77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5" sqref="A1:D105"/>
    </sheetView>
  </sheetViews>
  <sheetFormatPr defaultColWidth="13.421875" defaultRowHeight="12.75" outlineLevelRow="2"/>
  <cols>
    <col min="1" max="1" width="14.5742187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0" customHeight="1" thickBot="1">
      <c r="A1" s="135" t="s">
        <v>1592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23134</v>
      </c>
      <c r="E3" s="45"/>
    </row>
    <row r="4" spans="1:5" ht="12.75" outlineLevel="1">
      <c r="A4" s="117" t="s">
        <v>1355</v>
      </c>
      <c r="B4" s="118"/>
      <c r="C4" s="119"/>
      <c r="D4" s="28">
        <f>SUM(D5:D5)</f>
        <v>23134</v>
      </c>
      <c r="E4" s="46"/>
    </row>
    <row r="5" spans="1:5" ht="12.75" outlineLevel="2">
      <c r="A5" s="51" t="s">
        <v>70</v>
      </c>
      <c r="B5" s="52" t="s">
        <v>1957</v>
      </c>
      <c r="C5" s="63" t="s">
        <v>72</v>
      </c>
      <c r="D5" s="30">
        <v>23134</v>
      </c>
      <c r="E5" s="46"/>
    </row>
    <row r="6" spans="1:5" ht="13.5" customHeight="1" thickBot="1">
      <c r="A6" s="124" t="s">
        <v>1343</v>
      </c>
      <c r="B6" s="124"/>
      <c r="C6" s="124"/>
      <c r="D6" s="25">
        <f>D7+D52+D54+D56+D69+D77+D84+D86+D87</f>
        <v>497675.42</v>
      </c>
      <c r="E6" s="45"/>
    </row>
    <row r="7" spans="1:5" ht="13.5" outlineLevel="1" thickTop="1">
      <c r="A7" s="111" t="s">
        <v>1354</v>
      </c>
      <c r="B7" s="112"/>
      <c r="C7" s="113"/>
      <c r="D7" s="28">
        <f>SUM(D8:D51)</f>
        <v>119218.66999999998</v>
      </c>
      <c r="E7" s="46"/>
    </row>
    <row r="8" spans="1:5" ht="12.75" outlineLevel="2">
      <c r="A8" s="7" t="s">
        <v>1100</v>
      </c>
      <c r="B8" s="29" t="s">
        <v>849</v>
      </c>
      <c r="C8" s="7" t="s">
        <v>1102</v>
      </c>
      <c r="D8" s="30">
        <v>3540</v>
      </c>
      <c r="E8" s="46"/>
    </row>
    <row r="9" spans="1:5" ht="12.75" outlineLevel="2">
      <c r="A9" s="7" t="s">
        <v>1096</v>
      </c>
      <c r="B9" s="29" t="s">
        <v>849</v>
      </c>
      <c r="C9" s="7" t="s">
        <v>1115</v>
      </c>
      <c r="D9" s="30">
        <v>463</v>
      </c>
      <c r="E9" s="46"/>
    </row>
    <row r="10" spans="1:5" ht="12.75" outlineLevel="2">
      <c r="A10" s="7" t="s">
        <v>1779</v>
      </c>
      <c r="B10" s="29" t="s">
        <v>849</v>
      </c>
      <c r="C10" s="7" t="s">
        <v>1780</v>
      </c>
      <c r="D10" s="30">
        <v>1911</v>
      </c>
      <c r="E10" s="46"/>
    </row>
    <row r="11" spans="1:5" ht="12.75" outlineLevel="2">
      <c r="A11" s="51" t="s">
        <v>1940</v>
      </c>
      <c r="B11" s="52" t="s">
        <v>849</v>
      </c>
      <c r="C11" s="51" t="s">
        <v>1941</v>
      </c>
      <c r="D11" s="30">
        <v>372</v>
      </c>
      <c r="E11" s="46"/>
    </row>
    <row r="12" spans="1:5" ht="12.75" outlineLevel="2">
      <c r="A12" s="7" t="s">
        <v>2182</v>
      </c>
      <c r="B12" s="29" t="s">
        <v>849</v>
      </c>
      <c r="C12" s="7" t="s">
        <v>2174</v>
      </c>
      <c r="D12" s="30">
        <v>108.22</v>
      </c>
      <c r="E12" s="46"/>
    </row>
    <row r="13" spans="1:5" ht="12.75" outlineLevel="2">
      <c r="A13" s="7" t="s">
        <v>655</v>
      </c>
      <c r="B13" s="29" t="s">
        <v>1951</v>
      </c>
      <c r="C13" s="7" t="s">
        <v>656</v>
      </c>
      <c r="D13" s="30">
        <v>728</v>
      </c>
      <c r="E13" s="46"/>
    </row>
    <row r="14" spans="1:5" ht="12.75" outlineLevel="2">
      <c r="A14" s="7" t="s">
        <v>694</v>
      </c>
      <c r="B14" s="29" t="s">
        <v>1951</v>
      </c>
      <c r="C14" s="7" t="s">
        <v>695</v>
      </c>
      <c r="D14" s="30">
        <v>890</v>
      </c>
      <c r="E14" s="46"/>
    </row>
    <row r="15" spans="1:5" ht="12.75" outlineLevel="2">
      <c r="A15" s="7" t="s">
        <v>702</v>
      </c>
      <c r="B15" s="29" t="s">
        <v>1951</v>
      </c>
      <c r="C15" s="7" t="s">
        <v>712</v>
      </c>
      <c r="D15" s="30">
        <v>30307</v>
      </c>
      <c r="E15" s="46"/>
    </row>
    <row r="16" spans="1:5" ht="12.75" outlineLevel="2">
      <c r="A16" s="7" t="s">
        <v>448</v>
      </c>
      <c r="B16" s="29" t="s">
        <v>1951</v>
      </c>
      <c r="C16" s="7" t="s">
        <v>449</v>
      </c>
      <c r="D16" s="30">
        <v>2895</v>
      </c>
      <c r="E16" s="46"/>
    </row>
    <row r="17" spans="1:5" ht="12.75" outlineLevel="2">
      <c r="A17" s="7" t="s">
        <v>503</v>
      </c>
      <c r="B17" s="29" t="s">
        <v>1952</v>
      </c>
      <c r="C17" s="7" t="s">
        <v>504</v>
      </c>
      <c r="D17" s="30">
        <v>3326</v>
      </c>
      <c r="E17" s="46"/>
    </row>
    <row r="18" spans="1:5" ht="12.75" outlineLevel="2">
      <c r="A18" s="7" t="s">
        <v>2278</v>
      </c>
      <c r="B18" s="29" t="s">
        <v>1952</v>
      </c>
      <c r="C18" s="7" t="s">
        <v>666</v>
      </c>
      <c r="D18" s="30">
        <v>42.8</v>
      </c>
      <c r="E18" s="46"/>
    </row>
    <row r="19" spans="1:5" ht="12.75" outlineLevel="2">
      <c r="A19" s="8" t="s">
        <v>2279</v>
      </c>
      <c r="B19" s="29" t="s">
        <v>1952</v>
      </c>
      <c r="C19" s="7" t="s">
        <v>666</v>
      </c>
      <c r="D19" s="31">
        <v>14.32</v>
      </c>
      <c r="E19" s="46"/>
    </row>
    <row r="20" spans="1:5" ht="12.75" outlineLevel="2">
      <c r="A20" s="8" t="s">
        <v>2374</v>
      </c>
      <c r="B20" s="29" t="s">
        <v>1952</v>
      </c>
      <c r="C20" s="7" t="s">
        <v>2375</v>
      </c>
      <c r="D20" s="31">
        <v>94.7</v>
      </c>
      <c r="E20" s="46"/>
    </row>
    <row r="21" spans="1:5" ht="12.75" outlineLevel="2">
      <c r="A21" s="55" t="s">
        <v>2481</v>
      </c>
      <c r="B21" s="52" t="s">
        <v>1953</v>
      </c>
      <c r="C21" s="51" t="s">
        <v>2483</v>
      </c>
      <c r="D21" s="31">
        <v>925</v>
      </c>
      <c r="E21" s="46"/>
    </row>
    <row r="22" spans="1:5" ht="12.75" outlineLevel="2">
      <c r="A22" s="8" t="s">
        <v>2520</v>
      </c>
      <c r="B22" s="29" t="s">
        <v>1953</v>
      </c>
      <c r="C22" s="7" t="s">
        <v>2522</v>
      </c>
      <c r="D22" s="31">
        <v>3994</v>
      </c>
      <c r="E22" s="46"/>
    </row>
    <row r="23" spans="1:5" ht="12.75" outlineLevel="2">
      <c r="A23" s="8" t="s">
        <v>2526</v>
      </c>
      <c r="B23" s="29" t="s">
        <v>1953</v>
      </c>
      <c r="C23" s="7" t="s">
        <v>2527</v>
      </c>
      <c r="D23" s="31">
        <v>869</v>
      </c>
      <c r="E23" s="46"/>
    </row>
    <row r="24" spans="1:5" ht="12.75" outlineLevel="2">
      <c r="A24" s="8" t="s">
        <v>2326</v>
      </c>
      <c r="B24" s="29" t="s">
        <v>1953</v>
      </c>
      <c r="C24" s="7" t="s">
        <v>1300</v>
      </c>
      <c r="D24" s="31">
        <v>189.4</v>
      </c>
      <c r="E24" s="46"/>
    </row>
    <row r="25" spans="1:5" ht="12.75" outlineLevel="2">
      <c r="A25" s="8" t="s">
        <v>1315</v>
      </c>
      <c r="B25" s="29" t="s">
        <v>1953</v>
      </c>
      <c r="C25" s="7" t="s">
        <v>666</v>
      </c>
      <c r="D25" s="31">
        <v>99.88</v>
      </c>
      <c r="E25" s="46"/>
    </row>
    <row r="26" spans="1:5" ht="12.75" outlineLevel="2">
      <c r="A26" s="8" t="s">
        <v>2557</v>
      </c>
      <c r="B26" s="29" t="s">
        <v>1953</v>
      </c>
      <c r="C26" s="7" t="s">
        <v>1288</v>
      </c>
      <c r="D26" s="31">
        <v>1280</v>
      </c>
      <c r="E26" s="46"/>
    </row>
    <row r="27" spans="1:5" ht="12.75" customHeight="1" outlineLevel="2">
      <c r="A27" s="8" t="s">
        <v>560</v>
      </c>
      <c r="B27" s="29" t="s">
        <v>1954</v>
      </c>
      <c r="C27" s="7" t="s">
        <v>559</v>
      </c>
      <c r="D27" s="31">
        <v>13.88</v>
      </c>
      <c r="E27" s="46"/>
    </row>
    <row r="28" spans="1:5" ht="12.75" outlineLevel="2">
      <c r="A28" s="8" t="s">
        <v>561</v>
      </c>
      <c r="B28" s="29" t="s">
        <v>1954</v>
      </c>
      <c r="C28" s="7" t="s">
        <v>559</v>
      </c>
      <c r="D28" s="31">
        <v>14.27</v>
      </c>
      <c r="E28" s="46"/>
    </row>
    <row r="29" spans="1:5" ht="12.75" outlineLevel="2">
      <c r="A29" s="8" t="s">
        <v>2790</v>
      </c>
      <c r="B29" s="29" t="s">
        <v>1954</v>
      </c>
      <c r="C29" s="8" t="s">
        <v>1328</v>
      </c>
      <c r="D29" s="31">
        <v>189.4</v>
      </c>
      <c r="E29" s="46"/>
    </row>
    <row r="30" spans="1:5" ht="12.75" outlineLevel="2">
      <c r="A30" s="8" t="s">
        <v>165</v>
      </c>
      <c r="B30" s="29" t="s">
        <v>1955</v>
      </c>
      <c r="C30" s="8" t="s">
        <v>166</v>
      </c>
      <c r="D30" s="31">
        <v>6686</v>
      </c>
      <c r="E30" s="46"/>
    </row>
    <row r="31" spans="1:5" ht="12.75" outlineLevel="2">
      <c r="A31" s="7" t="s">
        <v>1070</v>
      </c>
      <c r="B31" s="29" t="s">
        <v>1956</v>
      </c>
      <c r="C31" s="8" t="s">
        <v>1069</v>
      </c>
      <c r="D31" s="31">
        <v>14.27</v>
      </c>
      <c r="E31" s="46"/>
    </row>
    <row r="32" spans="1:5" ht="12.75" outlineLevel="2">
      <c r="A32" s="8" t="s">
        <v>1233</v>
      </c>
      <c r="B32" s="29" t="s">
        <v>1957</v>
      </c>
      <c r="C32" s="8" t="s">
        <v>1234</v>
      </c>
      <c r="D32" s="31">
        <v>1663</v>
      </c>
      <c r="E32" s="46"/>
    </row>
    <row r="33" spans="1:5" ht="12.75" outlineLevel="2">
      <c r="A33" s="8" t="s">
        <v>407</v>
      </c>
      <c r="B33" s="29" t="s">
        <v>1957</v>
      </c>
      <c r="C33" s="8" t="s">
        <v>2666</v>
      </c>
      <c r="D33" s="16">
        <v>139</v>
      </c>
      <c r="E33" s="46"/>
    </row>
    <row r="34" spans="1:5" ht="12.75" outlineLevel="2">
      <c r="A34" s="55" t="s">
        <v>1868</v>
      </c>
      <c r="B34" s="52" t="s">
        <v>1958</v>
      </c>
      <c r="C34" s="55" t="s">
        <v>1870</v>
      </c>
      <c r="D34" s="31">
        <v>114.12</v>
      </c>
      <c r="E34" s="46"/>
    </row>
    <row r="35" spans="1:5" ht="12.75" outlineLevel="2">
      <c r="A35" s="55" t="s">
        <v>1869</v>
      </c>
      <c r="B35" s="52" t="s">
        <v>1958</v>
      </c>
      <c r="C35" s="55" t="s">
        <v>1871</v>
      </c>
      <c r="D35" s="31">
        <v>114.12</v>
      </c>
      <c r="E35" s="46"/>
    </row>
    <row r="36" spans="1:5" ht="12.75" outlineLevel="2">
      <c r="A36" s="8" t="s">
        <v>12</v>
      </c>
      <c r="B36" s="29" t="s">
        <v>1959</v>
      </c>
      <c r="C36" s="8" t="s">
        <v>2144</v>
      </c>
      <c r="D36" s="31">
        <v>4001</v>
      </c>
      <c r="E36" s="46"/>
    </row>
    <row r="37" spans="1:5" ht="25.5" outlineLevel="2">
      <c r="A37" s="8" t="s">
        <v>2750</v>
      </c>
      <c r="B37" s="29" t="s">
        <v>1960</v>
      </c>
      <c r="C37" s="8" t="s">
        <v>2751</v>
      </c>
      <c r="D37" s="31">
        <v>14234.66</v>
      </c>
      <c r="E37" s="46"/>
    </row>
    <row r="38" spans="1:5" ht="12.75" outlineLevel="2">
      <c r="A38" s="8" t="s">
        <v>10</v>
      </c>
      <c r="B38" s="29" t="s">
        <v>1960</v>
      </c>
      <c r="C38" s="8" t="s">
        <v>1199</v>
      </c>
      <c r="D38" s="31">
        <v>1369.04</v>
      </c>
      <c r="E38" s="46"/>
    </row>
    <row r="39" spans="1:5" ht="12.75" outlineLevel="2">
      <c r="A39" s="8" t="s">
        <v>805</v>
      </c>
      <c r="B39" s="29" t="s">
        <v>1960</v>
      </c>
      <c r="C39" s="7" t="s">
        <v>806</v>
      </c>
      <c r="D39" s="31">
        <v>2023.59</v>
      </c>
      <c r="E39" s="46"/>
    </row>
    <row r="40" spans="1:5" ht="12.75" outlineLevel="2">
      <c r="A40" s="8" t="s">
        <v>839</v>
      </c>
      <c r="B40" s="29" t="s">
        <v>1960</v>
      </c>
      <c r="C40" s="7" t="s">
        <v>842</v>
      </c>
      <c r="D40" s="31">
        <v>269.26</v>
      </c>
      <c r="E40" s="46"/>
    </row>
    <row r="41" spans="1:5" ht="12.75" outlineLevel="2">
      <c r="A41" s="8" t="s">
        <v>933</v>
      </c>
      <c r="B41" s="29" t="s">
        <v>1960</v>
      </c>
      <c r="C41" s="7" t="s">
        <v>921</v>
      </c>
      <c r="D41" s="31">
        <v>2272.8</v>
      </c>
      <c r="E41" s="46"/>
    </row>
    <row r="42" spans="1:5" ht="12.75" outlineLevel="2">
      <c r="A42" s="8" t="s">
        <v>752</v>
      </c>
      <c r="B42" s="29" t="s">
        <v>1961</v>
      </c>
      <c r="C42" s="7" t="s">
        <v>753</v>
      </c>
      <c r="D42" s="31">
        <v>330</v>
      </c>
      <c r="E42" s="46"/>
    </row>
    <row r="43" spans="1:5" ht="12.75" outlineLevel="2">
      <c r="A43" s="8" t="s">
        <v>759</v>
      </c>
      <c r="B43" s="29" t="s">
        <v>1961</v>
      </c>
      <c r="C43" s="7" t="s">
        <v>760</v>
      </c>
      <c r="D43" s="31">
        <v>644</v>
      </c>
      <c r="E43" s="46"/>
    </row>
    <row r="44" spans="1:5" ht="12.75" outlineLevel="2">
      <c r="A44" s="8" t="s">
        <v>1394</v>
      </c>
      <c r="B44" s="29" t="s">
        <v>1961</v>
      </c>
      <c r="C44" s="7" t="s">
        <v>1395</v>
      </c>
      <c r="D44" s="31">
        <v>858.73</v>
      </c>
      <c r="E44" s="46"/>
    </row>
    <row r="45" spans="1:5" ht="12.75" outlineLevel="2">
      <c r="A45" s="8" t="s">
        <v>1435</v>
      </c>
      <c r="B45" s="29" t="s">
        <v>1961</v>
      </c>
      <c r="C45" s="7" t="s">
        <v>1436</v>
      </c>
      <c r="D45" s="31">
        <v>28652</v>
      </c>
      <c r="E45" s="46"/>
    </row>
    <row r="46" spans="1:5" ht="12.75" outlineLevel="2">
      <c r="A46" s="8" t="s">
        <v>1629</v>
      </c>
      <c r="B46" s="29" t="s">
        <v>1961</v>
      </c>
      <c r="C46" s="7" t="s">
        <v>1638</v>
      </c>
      <c r="D46" s="31">
        <v>42.8</v>
      </c>
      <c r="E46" s="46"/>
    </row>
    <row r="47" spans="1:5" ht="12.75" outlineLevel="2">
      <c r="A47" s="8" t="s">
        <v>1630</v>
      </c>
      <c r="B47" s="29" t="s">
        <v>1961</v>
      </c>
      <c r="C47" s="7" t="s">
        <v>1627</v>
      </c>
      <c r="D47" s="31">
        <v>28.53</v>
      </c>
      <c r="E47" s="46"/>
    </row>
    <row r="48" spans="1:5" ht="12.75" outlineLevel="2">
      <c r="A48" s="8" t="s">
        <v>1639</v>
      </c>
      <c r="B48" s="29" t="s">
        <v>849</v>
      </c>
      <c r="C48" s="7" t="s">
        <v>1627</v>
      </c>
      <c r="D48" s="31">
        <v>14.27</v>
      </c>
      <c r="E48" s="46"/>
    </row>
    <row r="49" spans="1:5" ht="12.75" outlineLevel="2">
      <c r="A49" s="55" t="s">
        <v>2243</v>
      </c>
      <c r="B49" s="29" t="s">
        <v>1961</v>
      </c>
      <c r="C49" s="55" t="s">
        <v>2727</v>
      </c>
      <c r="D49" s="84">
        <v>1566.28</v>
      </c>
      <c r="E49" s="46"/>
    </row>
    <row r="50" spans="1:5" ht="25.5" outlineLevel="2">
      <c r="A50" s="8" t="s">
        <v>1631</v>
      </c>
      <c r="B50" s="29" t="s">
        <v>1961</v>
      </c>
      <c r="C50" s="7" t="s">
        <v>1638</v>
      </c>
      <c r="D50" s="31">
        <v>71.33</v>
      </c>
      <c r="E50" s="46"/>
    </row>
    <row r="51" spans="1:5" ht="12.75" outlineLevel="2">
      <c r="A51" s="55" t="s">
        <v>1459</v>
      </c>
      <c r="B51" s="52" t="s">
        <v>1961</v>
      </c>
      <c r="C51" s="51" t="s">
        <v>1460</v>
      </c>
      <c r="D51" s="31">
        <v>1843</v>
      </c>
      <c r="E51" s="46"/>
    </row>
    <row r="52" spans="1:5" ht="12.75" outlineLevel="1">
      <c r="A52" s="117" t="s">
        <v>1340</v>
      </c>
      <c r="B52" s="118"/>
      <c r="C52" s="119"/>
      <c r="D52" s="28">
        <f>SUM(D53:D53)</f>
        <v>6644</v>
      </c>
      <c r="E52" s="46"/>
    </row>
    <row r="53" spans="1:5" ht="12.75" outlineLevel="2">
      <c r="A53" s="9" t="s">
        <v>2692</v>
      </c>
      <c r="B53" s="29" t="s">
        <v>1954</v>
      </c>
      <c r="C53" s="7" t="s">
        <v>2694</v>
      </c>
      <c r="D53" s="30">
        <v>6644</v>
      </c>
      <c r="E53" s="46"/>
    </row>
    <row r="54" spans="1:5" ht="12.75" outlineLevel="1">
      <c r="A54" s="117" t="s">
        <v>1342</v>
      </c>
      <c r="B54" s="118"/>
      <c r="C54" s="119"/>
      <c r="D54" s="28">
        <f>SUM(D55:D55)</f>
        <v>24857</v>
      </c>
      <c r="E54" s="46"/>
    </row>
    <row r="55" spans="1:5" ht="12.75" outlineLevel="2">
      <c r="A55" s="7" t="s">
        <v>899</v>
      </c>
      <c r="B55" s="29" t="s">
        <v>1958</v>
      </c>
      <c r="C55" s="7" t="s">
        <v>900</v>
      </c>
      <c r="D55" s="30">
        <v>24857</v>
      </c>
      <c r="E55" s="46"/>
    </row>
    <row r="56" spans="1:5" ht="12.75" outlineLevel="1">
      <c r="A56" s="117" t="s">
        <v>1344</v>
      </c>
      <c r="B56" s="118"/>
      <c r="C56" s="119"/>
      <c r="D56" s="28">
        <f>SUM(D57:D68)</f>
        <v>230605.02000000002</v>
      </c>
      <c r="E56" s="46"/>
    </row>
    <row r="57" spans="1:5" ht="12.75" outlineLevel="2">
      <c r="A57" s="7"/>
      <c r="B57" s="29" t="s">
        <v>849</v>
      </c>
      <c r="C57" s="7" t="s">
        <v>1950</v>
      </c>
      <c r="D57" s="30">
        <f>3495.65+3047.49+1231.1+2882.57+4774.25+1037.04+2778.59</f>
        <v>19246.69</v>
      </c>
      <c r="E57" s="46"/>
    </row>
    <row r="58" spans="1:5" ht="12.75" outlineLevel="2">
      <c r="A58" s="7"/>
      <c r="B58" s="29" t="s">
        <v>1951</v>
      </c>
      <c r="C58" s="7" t="s">
        <v>1950</v>
      </c>
      <c r="D58" s="30">
        <f>3495.65+3047.49+89.63+1837.46+4302.34+7125.74+1165.22+2778.59</f>
        <v>23842.12</v>
      </c>
      <c r="E58" s="46"/>
    </row>
    <row r="59" spans="1:5" ht="12.75" outlineLevel="2">
      <c r="A59" s="7"/>
      <c r="B59" s="29" t="s">
        <v>1952</v>
      </c>
      <c r="C59" s="7" t="s">
        <v>1950</v>
      </c>
      <c r="D59" s="30">
        <f>3495.65+3047.49+89.63+1837.46+4302.34+7125.74+1165.22+2778.59+2778.59+268.9</f>
        <v>26889.61</v>
      </c>
      <c r="E59" s="46"/>
    </row>
    <row r="60" spans="1:5" ht="12.75" outlineLevel="2">
      <c r="A60" s="7"/>
      <c r="B60" s="29" t="s">
        <v>1953</v>
      </c>
      <c r="C60" s="7" t="s">
        <v>1950</v>
      </c>
      <c r="D60" s="30">
        <f>3495.65+2711.37+89.63+3499.68+970.71+1165.22+2389.59+268.9</f>
        <v>14590.75</v>
      </c>
      <c r="E60" s="46"/>
    </row>
    <row r="61" spans="1:5" ht="12.75" outlineLevel="2">
      <c r="A61" s="7"/>
      <c r="B61" s="29" t="s">
        <v>1954</v>
      </c>
      <c r="C61" s="7" t="s">
        <v>1950</v>
      </c>
      <c r="D61" s="30">
        <f>3495.65+2375.25+89.63+3525.23+919.62+1075.58+2778.58+242.01</f>
        <v>14501.550000000001</v>
      </c>
      <c r="E61" s="46"/>
    </row>
    <row r="62" spans="1:5" ht="12.75" outlineLevel="2">
      <c r="A62" s="7"/>
      <c r="B62" s="29" t="s">
        <v>1955</v>
      </c>
      <c r="C62" s="7" t="s">
        <v>1950</v>
      </c>
      <c r="D62" s="30">
        <f>1747.82+1187.62+44.82+3047.49+403.34+268.9+1389.3</f>
        <v>8089.29</v>
      </c>
      <c r="E62" s="46"/>
    </row>
    <row r="63" spans="1:5" ht="12.75" outlineLevel="2">
      <c r="A63" s="7"/>
      <c r="B63" s="29" t="s">
        <v>1956</v>
      </c>
      <c r="C63" s="7" t="s">
        <v>1950</v>
      </c>
      <c r="D63" s="30">
        <f>3898.99+2644.14+89.03+6812.03+896.32+605.02+3092.3</f>
        <v>18037.829999999998</v>
      </c>
      <c r="E63" s="46"/>
    </row>
    <row r="64" spans="1:5" ht="12.75" outlineLevel="2">
      <c r="A64" s="7"/>
      <c r="B64" s="29" t="s">
        <v>1957</v>
      </c>
      <c r="C64" s="7" t="s">
        <v>1950</v>
      </c>
      <c r="D64" s="30">
        <f>3898.99+2644.14+89.63+6812.03+1792.64+1210.03+3092.3+5646.82</f>
        <v>25186.579999999998</v>
      </c>
      <c r="E64" s="46"/>
    </row>
    <row r="65" spans="1:5" ht="12.75" outlineLevel="2">
      <c r="A65" s="7"/>
      <c r="B65" s="29" t="s">
        <v>1958</v>
      </c>
      <c r="C65" s="7" t="s">
        <v>1950</v>
      </c>
      <c r="D65" s="30">
        <f>3898.99+2644.14+89.63+6812.03+1792.64+1210.03+3092.3</f>
        <v>19539.76</v>
      </c>
      <c r="E65" s="46"/>
    </row>
    <row r="66" spans="1:5" ht="12.75" outlineLevel="2">
      <c r="A66" s="7"/>
      <c r="B66" s="29" t="s">
        <v>1959</v>
      </c>
      <c r="C66" s="7" t="s">
        <v>1950</v>
      </c>
      <c r="D66" s="30">
        <f>3898.99+2644.14+89.63+6812.03+1792.64+1210.03+3092.3</f>
        <v>19539.76</v>
      </c>
      <c r="E66" s="46"/>
    </row>
    <row r="67" spans="1:5" ht="12.75" outlineLevel="2">
      <c r="A67" s="7"/>
      <c r="B67" s="29" t="s">
        <v>1960</v>
      </c>
      <c r="C67" s="7" t="s">
        <v>1950</v>
      </c>
      <c r="D67" s="30">
        <f>3898.99+3406.02+89.63+2061.54+4795.31+2016.72+1210.03+3092.3</f>
        <v>20570.54</v>
      </c>
      <c r="E67" s="46"/>
    </row>
    <row r="68" spans="1:5" ht="12.75" outlineLevel="2">
      <c r="A68" s="11"/>
      <c r="B68" s="29" t="s">
        <v>1961</v>
      </c>
      <c r="C68" s="7" t="s">
        <v>1950</v>
      </c>
      <c r="D68" s="30">
        <f>3898.99+3406.02+89.63+2061.54+4795.31+2016.72+1210.03+3092.3</f>
        <v>20570.54</v>
      </c>
      <c r="E68" s="46"/>
    </row>
    <row r="69" spans="1:5" ht="12.75" outlineLevel="1">
      <c r="A69" s="117" t="s">
        <v>1346</v>
      </c>
      <c r="B69" s="118"/>
      <c r="C69" s="119"/>
      <c r="D69" s="28">
        <f>SUM(D70:D76)</f>
        <v>9776.42</v>
      </c>
      <c r="E69" s="46"/>
    </row>
    <row r="70" spans="1:5" ht="12.75" outlineLevel="2">
      <c r="A70" s="7" t="s">
        <v>2059</v>
      </c>
      <c r="B70" s="29" t="s">
        <v>849</v>
      </c>
      <c r="C70" s="7" t="s">
        <v>2056</v>
      </c>
      <c r="D70" s="30">
        <v>2160</v>
      </c>
      <c r="E70" s="46"/>
    </row>
    <row r="71" spans="1:5" ht="12.75" outlineLevel="2">
      <c r="A71" s="51" t="s">
        <v>2196</v>
      </c>
      <c r="B71" s="52" t="s">
        <v>849</v>
      </c>
      <c r="C71" s="51" t="s">
        <v>2197</v>
      </c>
      <c r="D71" s="30">
        <v>2465.22</v>
      </c>
      <c r="E71" s="46"/>
    </row>
    <row r="72" spans="1:5" ht="12.75" outlineLevel="2">
      <c r="A72" s="7" t="s">
        <v>2366</v>
      </c>
      <c r="B72" s="29" t="s">
        <v>1952</v>
      </c>
      <c r="C72" s="7" t="s">
        <v>2361</v>
      </c>
      <c r="D72" s="30">
        <v>4192.5</v>
      </c>
      <c r="E72" s="46"/>
    </row>
    <row r="73" spans="1:5" ht="12.75" outlineLevel="2">
      <c r="A73" s="51" t="s">
        <v>2240</v>
      </c>
      <c r="B73" s="29" t="s">
        <v>1952</v>
      </c>
      <c r="C73" s="7" t="s">
        <v>2393</v>
      </c>
      <c r="D73" s="30">
        <v>200</v>
      </c>
      <c r="E73" s="46"/>
    </row>
    <row r="74" spans="1:5" ht="12.75" outlineLevel="2">
      <c r="A74" s="51" t="s">
        <v>2240</v>
      </c>
      <c r="B74" s="29" t="s">
        <v>1952</v>
      </c>
      <c r="C74" s="7" t="s">
        <v>2394</v>
      </c>
      <c r="D74" s="30">
        <v>19.5</v>
      </c>
      <c r="E74" s="46"/>
    </row>
    <row r="75" spans="1:5" ht="12.75" outlineLevel="2">
      <c r="A75" s="51" t="s">
        <v>2240</v>
      </c>
      <c r="B75" s="29" t="s">
        <v>1952</v>
      </c>
      <c r="C75" s="7" t="s">
        <v>2390</v>
      </c>
      <c r="D75" s="30">
        <v>350</v>
      </c>
      <c r="E75" s="46"/>
    </row>
    <row r="76" spans="1:5" ht="12.75" outlineLevel="2">
      <c r="A76" s="51" t="s">
        <v>220</v>
      </c>
      <c r="B76" s="52" t="s">
        <v>1961</v>
      </c>
      <c r="C76" s="51" t="s">
        <v>221</v>
      </c>
      <c r="D76" s="30">
        <v>389.2</v>
      </c>
      <c r="E76" s="46"/>
    </row>
    <row r="77" spans="1:5" ht="12.75" outlineLevel="1">
      <c r="A77" s="117" t="s">
        <v>1341</v>
      </c>
      <c r="B77" s="118"/>
      <c r="C77" s="119"/>
      <c r="D77" s="28">
        <f>SUM(D78:D83)</f>
        <v>13292.380000000001</v>
      </c>
      <c r="E77" s="46"/>
    </row>
    <row r="78" spans="1:5" ht="12.75" outlineLevel="2">
      <c r="A78" s="7" t="s">
        <v>864</v>
      </c>
      <c r="B78" s="29" t="s">
        <v>849</v>
      </c>
      <c r="C78" s="7" t="s">
        <v>122</v>
      </c>
      <c r="D78" s="30">
        <v>56</v>
      </c>
      <c r="E78" s="46"/>
    </row>
    <row r="79" spans="1:5" ht="12.75" outlineLevel="2">
      <c r="A79" s="7" t="s">
        <v>1119</v>
      </c>
      <c r="B79" s="29" t="s">
        <v>849</v>
      </c>
      <c r="C79" s="7" t="s">
        <v>1120</v>
      </c>
      <c r="D79" s="30">
        <v>4926</v>
      </c>
      <c r="E79" s="46"/>
    </row>
    <row r="80" spans="1:5" ht="12.75" outlineLevel="2">
      <c r="A80" s="7" t="s">
        <v>1900</v>
      </c>
      <c r="B80" s="29" t="s">
        <v>849</v>
      </c>
      <c r="C80" s="7" t="s">
        <v>1899</v>
      </c>
      <c r="D80" s="30">
        <v>1038</v>
      </c>
      <c r="E80" s="46"/>
    </row>
    <row r="81" spans="1:5" ht="12.75" outlineLevel="2">
      <c r="A81" s="7" t="s">
        <v>306</v>
      </c>
      <c r="B81" s="29" t="s">
        <v>1951</v>
      </c>
      <c r="C81" s="7" t="s">
        <v>308</v>
      </c>
      <c r="D81" s="30">
        <v>1829</v>
      </c>
      <c r="E81" s="46"/>
    </row>
    <row r="82" spans="1:5" ht="12.75" outlineLevel="2">
      <c r="A82" s="7" t="s">
        <v>91</v>
      </c>
      <c r="B82" s="29" t="s">
        <v>1960</v>
      </c>
      <c r="C82" s="7" t="s">
        <v>95</v>
      </c>
      <c r="D82" s="30">
        <v>39.11</v>
      </c>
      <c r="E82" s="46"/>
    </row>
    <row r="83" spans="1:5" ht="12.75" outlineLevel="2">
      <c r="A83" s="7" t="s">
        <v>256</v>
      </c>
      <c r="B83" s="29" t="s">
        <v>1960</v>
      </c>
      <c r="C83" s="7" t="s">
        <v>257</v>
      </c>
      <c r="D83" s="30">
        <v>5404.27</v>
      </c>
      <c r="E83" s="46"/>
    </row>
    <row r="84" spans="1:5" ht="12.75" outlineLevel="1">
      <c r="A84" s="117" t="s">
        <v>1347</v>
      </c>
      <c r="B84" s="118"/>
      <c r="C84" s="119"/>
      <c r="D84" s="28">
        <f>SUM(D85:D85)</f>
        <v>5916.41</v>
      </c>
      <c r="E84" s="46"/>
    </row>
    <row r="85" spans="1:5" ht="12.75" outlineLevel="2">
      <c r="A85" s="11"/>
      <c r="B85" s="29"/>
      <c r="C85" s="7" t="s">
        <v>239</v>
      </c>
      <c r="D85" s="30">
        <f>802+5114.41</f>
        <v>5916.41</v>
      </c>
      <c r="E85" s="46"/>
    </row>
    <row r="86" spans="1:6" ht="12.75">
      <c r="A86" s="6">
        <v>4412.4</v>
      </c>
      <c r="B86" s="6" t="s">
        <v>1356</v>
      </c>
      <c r="C86" s="37" t="s">
        <v>1345</v>
      </c>
      <c r="D86" s="23">
        <f>(4412.4*6*1.46)+(4412.4*6*1.63)</f>
        <v>81805.896</v>
      </c>
      <c r="E86" s="46"/>
      <c r="F86" s="37" t="s">
        <v>1352</v>
      </c>
    </row>
    <row r="87" spans="1:6" ht="13.5" thickBot="1">
      <c r="A87" s="6">
        <v>4412.4</v>
      </c>
      <c r="B87" s="6" t="s">
        <v>1356</v>
      </c>
      <c r="C87" s="37" t="s">
        <v>1357</v>
      </c>
      <c r="D87" s="23">
        <f>(4412.4*6*0.1)+(4412.4*6*0.11)</f>
        <v>5559.624</v>
      </c>
      <c r="E87" s="46"/>
      <c r="F87" s="37" t="s">
        <v>1351</v>
      </c>
    </row>
    <row r="88" spans="1:6" ht="12.75" customHeight="1" thickTop="1">
      <c r="A88" s="132" t="s">
        <v>1361</v>
      </c>
      <c r="B88" s="133"/>
      <c r="C88" s="134"/>
      <c r="D88" s="76">
        <f>(4412.4*6*0.94)+(4412.4*6*1.03)</f>
        <v>52154.568</v>
      </c>
      <c r="E88" s="48"/>
      <c r="F88" s="14" t="s">
        <v>787</v>
      </c>
    </row>
    <row r="89" spans="1:6" ht="12.75" customHeight="1">
      <c r="A89" s="125" t="s">
        <v>1350</v>
      </c>
      <c r="B89" s="126"/>
      <c r="C89" s="127"/>
      <c r="D89" s="76">
        <f>(4412.4*6*1.57)+(4412.4*6*1.75)</f>
        <v>87895.008</v>
      </c>
      <c r="E89" s="48"/>
      <c r="F89" s="14" t="s">
        <v>788</v>
      </c>
    </row>
    <row r="90" spans="1:6" ht="12.75" customHeight="1">
      <c r="A90" s="125" t="s">
        <v>1362</v>
      </c>
      <c r="B90" s="126"/>
      <c r="C90" s="127"/>
      <c r="D90" s="16">
        <f>10.3*(D92+D93)/100</f>
        <v>127071.91163999999</v>
      </c>
      <c r="E90" s="48"/>
      <c r="F90" s="14" t="s">
        <v>789</v>
      </c>
    </row>
    <row r="91" spans="1:6" ht="12.75" customHeight="1">
      <c r="A91" s="120" t="s">
        <v>1363</v>
      </c>
      <c r="B91" s="121"/>
      <c r="C91" s="122"/>
      <c r="D91" s="41">
        <f>D90+D89+D88+D6+D3</f>
        <v>787930.9076399999</v>
      </c>
      <c r="E91" s="48">
        <v>1</v>
      </c>
      <c r="F91" s="14" t="s">
        <v>790</v>
      </c>
    </row>
    <row r="92" spans="1:6" ht="12.75" customHeight="1">
      <c r="A92" s="114" t="s">
        <v>1364</v>
      </c>
      <c r="B92" s="115"/>
      <c r="C92" s="116"/>
      <c r="D92" s="18">
        <f>1088098.68</f>
        <v>1088098.68</v>
      </c>
      <c r="E92" s="48">
        <v>2</v>
      </c>
      <c r="F92" s="27"/>
    </row>
    <row r="93" spans="1:6" ht="12.75" customHeight="1">
      <c r="A93" s="114" t="s">
        <v>1365</v>
      </c>
      <c r="B93" s="115"/>
      <c r="C93" s="116"/>
      <c r="D93" s="18">
        <v>145609.2</v>
      </c>
      <c r="E93" s="48">
        <v>3</v>
      </c>
      <c r="F93" s="37" t="s">
        <v>1352</v>
      </c>
    </row>
    <row r="94" spans="1:6" ht="12.75" customHeight="1">
      <c r="A94" s="114" t="s">
        <v>2221</v>
      </c>
      <c r="B94" s="115"/>
      <c r="C94" s="116"/>
      <c r="D94" s="19">
        <f>1179030.62+D92</f>
        <v>2267129.3</v>
      </c>
      <c r="E94" s="48">
        <v>4</v>
      </c>
      <c r="F94" s="37" t="s">
        <v>791</v>
      </c>
    </row>
    <row r="95" spans="1:6" ht="13.5" customHeight="1">
      <c r="A95" s="114" t="s">
        <v>2222</v>
      </c>
      <c r="B95" s="115"/>
      <c r="C95" s="116"/>
      <c r="D95" s="19">
        <f>479472.61+D100</f>
        <v>1087980.3599999999</v>
      </c>
      <c r="E95" s="48">
        <v>5</v>
      </c>
      <c r="F95" s="14" t="s">
        <v>843</v>
      </c>
    </row>
    <row r="96" spans="1:6" ht="25.5" customHeight="1">
      <c r="A96" s="120" t="s">
        <v>2227</v>
      </c>
      <c r="B96" s="121"/>
      <c r="C96" s="122"/>
      <c r="D96" s="42">
        <f>1195479.83+D91</f>
        <v>1983410.73764</v>
      </c>
      <c r="E96" s="48">
        <v>6</v>
      </c>
      <c r="F96" s="14" t="s">
        <v>844</v>
      </c>
    </row>
    <row r="97" spans="1:6" ht="12.75" customHeight="1">
      <c r="A97" s="114" t="s">
        <v>2224</v>
      </c>
      <c r="B97" s="115"/>
      <c r="C97" s="116"/>
      <c r="D97" s="19">
        <f>157337.7+D93</f>
        <v>302946.9</v>
      </c>
      <c r="E97" s="48">
        <v>7</v>
      </c>
      <c r="F97" s="14" t="s">
        <v>845</v>
      </c>
    </row>
    <row r="98" spans="1:6" ht="12.75" customHeight="1">
      <c r="A98" s="114" t="s">
        <v>2228</v>
      </c>
      <c r="B98" s="115"/>
      <c r="C98" s="116"/>
      <c r="D98" s="19">
        <f>67896.18+D101</f>
        <v>149326.59999999998</v>
      </c>
      <c r="E98" s="48">
        <v>8</v>
      </c>
      <c r="F98" s="14" t="s">
        <v>787</v>
      </c>
    </row>
    <row r="99" spans="1:6" ht="12.75" customHeight="1">
      <c r="A99" s="120" t="s">
        <v>2229</v>
      </c>
      <c r="B99" s="121"/>
      <c r="C99" s="122"/>
      <c r="D99" s="42">
        <v>0</v>
      </c>
      <c r="E99" s="48">
        <v>9</v>
      </c>
      <c r="F99" s="14" t="s">
        <v>846</v>
      </c>
    </row>
    <row r="100" spans="1:6" ht="12.75" customHeight="1">
      <c r="A100" s="114" t="s">
        <v>779</v>
      </c>
      <c r="B100" s="115"/>
      <c r="C100" s="116"/>
      <c r="D100" s="18">
        <v>608507.75</v>
      </c>
      <c r="E100" s="48">
        <v>10</v>
      </c>
      <c r="F100" s="14" t="s">
        <v>847</v>
      </c>
    </row>
    <row r="101" spans="1:6" ht="12.75" customHeight="1">
      <c r="A101" s="114" t="s">
        <v>780</v>
      </c>
      <c r="B101" s="115"/>
      <c r="C101" s="116"/>
      <c r="D101" s="18">
        <v>81430.42</v>
      </c>
      <c r="E101" s="48">
        <v>11</v>
      </c>
      <c r="F101" s="14" t="s">
        <v>848</v>
      </c>
    </row>
    <row r="102" spans="1:6" ht="12.75" customHeight="1">
      <c r="A102" s="120" t="s">
        <v>781</v>
      </c>
      <c r="B102" s="121"/>
      <c r="C102" s="122"/>
      <c r="D102" s="41">
        <v>0</v>
      </c>
      <c r="E102" s="48">
        <v>12</v>
      </c>
      <c r="F102" s="43"/>
    </row>
    <row r="103" spans="1:6" ht="27" customHeight="1">
      <c r="A103" s="108" t="s">
        <v>782</v>
      </c>
      <c r="B103" s="109"/>
      <c r="C103" s="110"/>
      <c r="D103" s="26">
        <f>D94-D96</f>
        <v>283718.56235999987</v>
      </c>
      <c r="E103" s="48">
        <v>13</v>
      </c>
      <c r="F103" s="43"/>
    </row>
    <row r="104" spans="1:6" ht="25.5" customHeight="1">
      <c r="A104" s="108" t="s">
        <v>783</v>
      </c>
      <c r="B104" s="109"/>
      <c r="C104" s="110"/>
      <c r="D104" s="26">
        <f>D97-D99</f>
        <v>302946.9</v>
      </c>
      <c r="E104" s="48">
        <v>14</v>
      </c>
      <c r="F104" s="43"/>
    </row>
    <row r="105" spans="1:6" ht="25.5" customHeight="1">
      <c r="A105" s="108" t="s">
        <v>718</v>
      </c>
      <c r="B105" s="109"/>
      <c r="C105" s="110"/>
      <c r="D105" s="26">
        <f>D95-D96</f>
        <v>-895430.3776400001</v>
      </c>
      <c r="E105" s="48">
        <v>15</v>
      </c>
      <c r="F105" s="43"/>
    </row>
    <row r="106" ht="12.75">
      <c r="F106" s="43"/>
    </row>
  </sheetData>
  <sheetProtection/>
  <mergeCells count="29">
    <mergeCell ref="A89:C89"/>
    <mergeCell ref="A90:C90"/>
    <mergeCell ref="A52:C52"/>
    <mergeCell ref="A54:C54"/>
    <mergeCell ref="A3:C3"/>
    <mergeCell ref="A4:C4"/>
    <mergeCell ref="A6:C6"/>
    <mergeCell ref="A7:C7"/>
    <mergeCell ref="A56:C56"/>
    <mergeCell ref="A1:D1"/>
    <mergeCell ref="A104:C104"/>
    <mergeCell ref="A94:C94"/>
    <mergeCell ref="A96:C96"/>
    <mergeCell ref="A97:C97"/>
    <mergeCell ref="A88:C88"/>
    <mergeCell ref="A93:C93"/>
    <mergeCell ref="A95:C95"/>
    <mergeCell ref="A77:C77"/>
    <mergeCell ref="A84:C84"/>
    <mergeCell ref="A69:C69"/>
    <mergeCell ref="A105:C105"/>
    <mergeCell ref="A98:C98"/>
    <mergeCell ref="A99:C99"/>
    <mergeCell ref="A100:C100"/>
    <mergeCell ref="A101:C101"/>
    <mergeCell ref="A102:C102"/>
    <mergeCell ref="A103:C103"/>
    <mergeCell ref="A91:C91"/>
    <mergeCell ref="A92:C92"/>
  </mergeCells>
  <printOptions/>
  <pageMargins left="0.17" right="0.2" top="0.52" bottom="0.31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6" sqref="A1:D106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8.5" customHeight="1" thickBot="1">
      <c r="A1" s="135" t="s">
        <v>1593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45750</v>
      </c>
      <c r="E3" s="45"/>
    </row>
    <row r="4" spans="1:5" ht="12.75" outlineLevel="1">
      <c r="A4" s="117" t="s">
        <v>1354</v>
      </c>
      <c r="B4" s="118"/>
      <c r="C4" s="119"/>
      <c r="D4" s="28">
        <f>SUM(D5:D5)</f>
        <v>45750</v>
      </c>
      <c r="E4" s="46"/>
    </row>
    <row r="5" spans="1:5" ht="12.75" outlineLevel="2">
      <c r="A5" s="51" t="s">
        <v>53</v>
      </c>
      <c r="B5" s="52" t="s">
        <v>1953</v>
      </c>
      <c r="C5" s="63" t="s">
        <v>54</v>
      </c>
      <c r="D5" s="30">
        <v>45750</v>
      </c>
      <c r="E5" s="46"/>
    </row>
    <row r="6" spans="1:5" ht="13.5" customHeight="1" thickBot="1">
      <c r="A6" s="124" t="s">
        <v>1343</v>
      </c>
      <c r="B6" s="124"/>
      <c r="C6" s="124"/>
      <c r="D6" s="25">
        <f>D7+D51+D53+D66+D76+D85+D87+D88</f>
        <v>471237.57</v>
      </c>
      <c r="E6" s="45"/>
    </row>
    <row r="7" spans="1:5" ht="13.5" outlineLevel="1" thickTop="1">
      <c r="A7" s="111" t="s">
        <v>1354</v>
      </c>
      <c r="B7" s="112"/>
      <c r="C7" s="113"/>
      <c r="D7" s="28">
        <f>SUM(D8:D50)</f>
        <v>104787.59000000004</v>
      </c>
      <c r="E7" s="46"/>
    </row>
    <row r="8" spans="1:5" ht="12.75" outlineLevel="2">
      <c r="A8" s="7" t="s">
        <v>1100</v>
      </c>
      <c r="B8" s="29" t="s">
        <v>849</v>
      </c>
      <c r="C8" s="7" t="s">
        <v>1101</v>
      </c>
      <c r="D8" s="30">
        <v>366</v>
      </c>
      <c r="E8" s="46"/>
    </row>
    <row r="9" spans="1:5" ht="12.75" outlineLevel="2">
      <c r="A9" s="7" t="s">
        <v>1126</v>
      </c>
      <c r="B9" s="29" t="s">
        <v>849</v>
      </c>
      <c r="C9" s="7" t="s">
        <v>1127</v>
      </c>
      <c r="D9" s="30">
        <v>9531</v>
      </c>
      <c r="E9" s="46"/>
    </row>
    <row r="10" spans="1:5" ht="12.75" outlineLevel="2">
      <c r="A10" s="7" t="s">
        <v>1938</v>
      </c>
      <c r="B10" s="29" t="s">
        <v>849</v>
      </c>
      <c r="C10" s="7" t="s">
        <v>1939</v>
      </c>
      <c r="D10" s="30">
        <v>1107</v>
      </c>
      <c r="E10" s="46"/>
    </row>
    <row r="11" spans="1:5" ht="12.75" outlineLevel="2">
      <c r="A11" s="7" t="s">
        <v>2161</v>
      </c>
      <c r="B11" s="29" t="s">
        <v>849</v>
      </c>
      <c r="C11" s="7" t="s">
        <v>2162</v>
      </c>
      <c r="D11" s="30">
        <v>360</v>
      </c>
      <c r="E11" s="46"/>
    </row>
    <row r="12" spans="1:5" ht="12.75" outlineLevel="2">
      <c r="A12" s="7" t="s">
        <v>2182</v>
      </c>
      <c r="B12" s="29" t="s">
        <v>849</v>
      </c>
      <c r="C12" s="7" t="s">
        <v>2174</v>
      </c>
      <c r="D12" s="30">
        <v>108.22</v>
      </c>
      <c r="E12" s="46"/>
    </row>
    <row r="13" spans="1:5" ht="12.75" outlineLevel="2">
      <c r="A13" s="7" t="s">
        <v>688</v>
      </c>
      <c r="B13" s="29" t="s">
        <v>1951</v>
      </c>
      <c r="C13" s="7" t="s">
        <v>689</v>
      </c>
      <c r="D13" s="30">
        <v>2369</v>
      </c>
      <c r="E13" s="46"/>
    </row>
    <row r="14" spans="1:5" ht="12.75" outlineLevel="2">
      <c r="A14" s="7" t="s">
        <v>700</v>
      </c>
      <c r="B14" s="29" t="s">
        <v>1951</v>
      </c>
      <c r="C14" s="7" t="s">
        <v>701</v>
      </c>
      <c r="D14" s="30">
        <v>9608</v>
      </c>
      <c r="E14" s="46"/>
    </row>
    <row r="15" spans="1:5" ht="12.75" outlineLevel="2">
      <c r="A15" s="7" t="s">
        <v>495</v>
      </c>
      <c r="B15" s="29" t="s">
        <v>1952</v>
      </c>
      <c r="C15" s="7" t="s">
        <v>496</v>
      </c>
      <c r="D15" s="30">
        <v>1802</v>
      </c>
      <c r="E15" s="46"/>
    </row>
    <row r="16" spans="1:5" ht="12.75" outlineLevel="2">
      <c r="A16" s="7" t="s">
        <v>547</v>
      </c>
      <c r="B16" s="29" t="s">
        <v>1952</v>
      </c>
      <c r="C16" s="7" t="s">
        <v>548</v>
      </c>
      <c r="D16" s="30">
        <v>7984</v>
      </c>
      <c r="E16" s="46"/>
    </row>
    <row r="17" spans="1:5" ht="12.75" outlineLevel="2">
      <c r="A17" s="7" t="s">
        <v>555</v>
      </c>
      <c r="B17" s="29" t="s">
        <v>1952</v>
      </c>
      <c r="C17" s="7" t="s">
        <v>2200</v>
      </c>
      <c r="D17" s="30">
        <v>6.94</v>
      </c>
      <c r="E17" s="46"/>
    </row>
    <row r="18" spans="1:5" ht="12.75" outlineLevel="2">
      <c r="A18" s="54" t="s">
        <v>555</v>
      </c>
      <c r="B18" s="29" t="s">
        <v>1952</v>
      </c>
      <c r="C18" s="7" t="s">
        <v>2200</v>
      </c>
      <c r="D18" s="30">
        <v>14.87</v>
      </c>
      <c r="E18" s="46"/>
    </row>
    <row r="19" spans="1:5" ht="12.75" outlineLevel="2">
      <c r="A19" s="7" t="s">
        <v>2279</v>
      </c>
      <c r="B19" s="29" t="s">
        <v>1952</v>
      </c>
      <c r="C19" s="7" t="s">
        <v>2200</v>
      </c>
      <c r="D19" s="30">
        <v>29.74</v>
      </c>
      <c r="E19" s="46"/>
    </row>
    <row r="20" spans="1:5" ht="12.75" outlineLevel="2">
      <c r="A20" s="8" t="s">
        <v>2480</v>
      </c>
      <c r="B20" s="29" t="s">
        <v>1953</v>
      </c>
      <c r="C20" s="7" t="s">
        <v>2517</v>
      </c>
      <c r="D20" s="31">
        <v>4101</v>
      </c>
      <c r="E20" s="46"/>
    </row>
    <row r="21" spans="1:5" ht="12.75" outlineLevel="2">
      <c r="A21" s="8" t="s">
        <v>2518</v>
      </c>
      <c r="B21" s="29" t="s">
        <v>1953</v>
      </c>
      <c r="C21" s="7" t="s">
        <v>2519</v>
      </c>
      <c r="D21" s="31">
        <v>9519</v>
      </c>
      <c r="E21" s="46"/>
    </row>
    <row r="22" spans="1:5" ht="12.75" outlineLevel="2">
      <c r="A22" s="8" t="s">
        <v>1317</v>
      </c>
      <c r="B22" s="29" t="s">
        <v>1953</v>
      </c>
      <c r="C22" s="7" t="s">
        <v>2200</v>
      </c>
      <c r="D22" s="31">
        <v>133.83</v>
      </c>
      <c r="E22" s="46"/>
    </row>
    <row r="23" spans="1:5" ht="12.75" outlineLevel="2">
      <c r="A23" s="8" t="s">
        <v>2612</v>
      </c>
      <c r="B23" s="29" t="s">
        <v>1954</v>
      </c>
      <c r="C23" s="7" t="s">
        <v>2613</v>
      </c>
      <c r="D23" s="31">
        <v>414</v>
      </c>
      <c r="E23" s="46"/>
    </row>
    <row r="24" spans="1:5" ht="12.75" outlineLevel="2">
      <c r="A24" s="8" t="s">
        <v>2674</v>
      </c>
      <c r="B24" s="29" t="s">
        <v>1954</v>
      </c>
      <c r="C24" s="7" t="s">
        <v>2676</v>
      </c>
      <c r="D24" s="31">
        <v>355</v>
      </c>
      <c r="E24" s="46"/>
    </row>
    <row r="25" spans="1:5" ht="12.75" outlineLevel="2">
      <c r="A25" s="8" t="s">
        <v>1286</v>
      </c>
      <c r="B25" s="29" t="s">
        <v>1954</v>
      </c>
      <c r="C25" s="7" t="s">
        <v>1287</v>
      </c>
      <c r="D25" s="31">
        <v>1544</v>
      </c>
      <c r="E25" s="46"/>
    </row>
    <row r="26" spans="1:5" ht="12.75" outlineLevel="2">
      <c r="A26" s="8" t="s">
        <v>2795</v>
      </c>
      <c r="B26" s="29" t="s">
        <v>1954</v>
      </c>
      <c r="C26" s="8" t="s">
        <v>1328</v>
      </c>
      <c r="D26" s="31">
        <v>189.4</v>
      </c>
      <c r="E26" s="46"/>
    </row>
    <row r="27" spans="1:5" ht="12.75" outlineLevel="2">
      <c r="A27" s="8" t="s">
        <v>2345</v>
      </c>
      <c r="B27" s="29" t="s">
        <v>1956</v>
      </c>
      <c r="C27" s="8" t="s">
        <v>2346</v>
      </c>
      <c r="D27" s="31">
        <v>14.87</v>
      </c>
      <c r="E27" s="46"/>
    </row>
    <row r="28" spans="1:5" ht="12.75" outlineLevel="2">
      <c r="A28" s="8" t="s">
        <v>1071</v>
      </c>
      <c r="B28" s="29" t="s">
        <v>1956</v>
      </c>
      <c r="C28" s="8" t="s">
        <v>1072</v>
      </c>
      <c r="D28" s="31">
        <v>14.87</v>
      </c>
      <c r="E28" s="46"/>
    </row>
    <row r="29" spans="1:5" ht="12.75" outlineLevel="2">
      <c r="A29" s="8" t="s">
        <v>707</v>
      </c>
      <c r="B29" s="29" t="s">
        <v>1957</v>
      </c>
      <c r="C29" s="8" t="s">
        <v>708</v>
      </c>
      <c r="D29" s="31">
        <v>14.87</v>
      </c>
      <c r="E29" s="46"/>
    </row>
    <row r="30" spans="1:5" ht="12.75" outlineLevel="2">
      <c r="A30" s="8" t="s">
        <v>1235</v>
      </c>
      <c r="B30" s="29" t="s">
        <v>1957</v>
      </c>
      <c r="C30" s="8" t="s">
        <v>1237</v>
      </c>
      <c r="D30" s="31">
        <v>392</v>
      </c>
      <c r="E30" s="46"/>
    </row>
    <row r="31" spans="1:5" ht="12.75" outlineLevel="2">
      <c r="A31" s="8" t="s">
        <v>2726</v>
      </c>
      <c r="B31" s="29" t="s">
        <v>1957</v>
      </c>
      <c r="C31" s="8" t="s">
        <v>2727</v>
      </c>
      <c r="D31" s="31">
        <v>1246</v>
      </c>
      <c r="E31" s="46"/>
    </row>
    <row r="32" spans="1:5" ht="12.75" outlineLevel="2">
      <c r="A32" s="8" t="s">
        <v>1241</v>
      </c>
      <c r="B32" s="29" t="s">
        <v>1957</v>
      </c>
      <c r="C32" s="8" t="s">
        <v>1187</v>
      </c>
      <c r="D32" s="31">
        <v>732</v>
      </c>
      <c r="E32" s="46"/>
    </row>
    <row r="33" spans="1:5" ht="12.75" outlineLevel="2">
      <c r="A33" s="8" t="s">
        <v>408</v>
      </c>
      <c r="B33" s="29" t="s">
        <v>1957</v>
      </c>
      <c r="C33" s="8" t="s">
        <v>2666</v>
      </c>
      <c r="D33" s="16">
        <v>139</v>
      </c>
      <c r="E33" s="46"/>
    </row>
    <row r="34" spans="1:5" ht="12.75" outlineLevel="2">
      <c r="A34" s="8" t="s">
        <v>1819</v>
      </c>
      <c r="B34" s="29" t="s">
        <v>1958</v>
      </c>
      <c r="C34" s="8" t="s">
        <v>2666</v>
      </c>
      <c r="D34" s="31">
        <v>128.72</v>
      </c>
      <c r="E34" s="46"/>
    </row>
    <row r="35" spans="1:5" ht="12.75" outlineLevel="2">
      <c r="A35" s="55" t="s">
        <v>1848</v>
      </c>
      <c r="B35" s="29" t="s">
        <v>1958</v>
      </c>
      <c r="C35" s="55" t="s">
        <v>1849</v>
      </c>
      <c r="D35" s="31">
        <v>14.87</v>
      </c>
      <c r="E35" s="46"/>
    </row>
    <row r="36" spans="1:5" ht="12.75" outlineLevel="2">
      <c r="A36" s="55" t="s">
        <v>1856</v>
      </c>
      <c r="B36" s="29" t="s">
        <v>1958</v>
      </c>
      <c r="C36" s="55" t="s">
        <v>1857</v>
      </c>
      <c r="D36" s="31">
        <v>14.87</v>
      </c>
      <c r="E36" s="46"/>
    </row>
    <row r="37" spans="1:5" ht="12.75" outlineLevel="2">
      <c r="A37" s="8" t="s">
        <v>866</v>
      </c>
      <c r="B37" s="29" t="s">
        <v>1958</v>
      </c>
      <c r="C37" s="8" t="s">
        <v>868</v>
      </c>
      <c r="D37" s="31">
        <v>1845</v>
      </c>
      <c r="E37" s="46"/>
    </row>
    <row r="38" spans="1:5" ht="12.75" outlineLevel="2">
      <c r="A38" s="8" t="s">
        <v>1149</v>
      </c>
      <c r="B38" s="29" t="s">
        <v>1959</v>
      </c>
      <c r="C38" s="8" t="s">
        <v>396</v>
      </c>
      <c r="D38" s="31">
        <v>627.71</v>
      </c>
      <c r="E38" s="46"/>
    </row>
    <row r="39" spans="1:5" ht="12.75" outlineLevel="2">
      <c r="A39" s="8" t="s">
        <v>10</v>
      </c>
      <c r="B39" s="29" t="s">
        <v>1960</v>
      </c>
      <c r="C39" s="8" t="s">
        <v>2727</v>
      </c>
      <c r="D39" s="31">
        <v>1369.04</v>
      </c>
      <c r="E39" s="46"/>
    </row>
    <row r="40" spans="1:5" ht="12.75" outlineLevel="2">
      <c r="A40" s="8" t="s">
        <v>259</v>
      </c>
      <c r="B40" s="29" t="s">
        <v>1960</v>
      </c>
      <c r="C40" s="8" t="s">
        <v>260</v>
      </c>
      <c r="D40" s="31">
        <v>5023.25</v>
      </c>
      <c r="E40" s="46"/>
    </row>
    <row r="41" spans="1:5" ht="12.75" outlineLevel="2">
      <c r="A41" s="8" t="s">
        <v>934</v>
      </c>
      <c r="B41" s="29" t="s">
        <v>1960</v>
      </c>
      <c r="C41" s="8" t="s">
        <v>921</v>
      </c>
      <c r="D41" s="31">
        <v>2272.8</v>
      </c>
      <c r="E41" s="46"/>
    </row>
    <row r="42" spans="1:5" ht="12.75" outlineLevel="2">
      <c r="A42" s="8" t="s">
        <v>750</v>
      </c>
      <c r="B42" s="29" t="s">
        <v>1961</v>
      </c>
      <c r="C42" s="8" t="s">
        <v>751</v>
      </c>
      <c r="D42" s="31">
        <v>5763</v>
      </c>
      <c r="E42" s="46"/>
    </row>
    <row r="43" spans="1:5" ht="12.75" outlineLevel="2">
      <c r="A43" s="8" t="s">
        <v>764</v>
      </c>
      <c r="B43" s="29" t="s">
        <v>1961</v>
      </c>
      <c r="C43" s="8" t="s">
        <v>765</v>
      </c>
      <c r="D43" s="31">
        <v>7856.45</v>
      </c>
      <c r="E43" s="46"/>
    </row>
    <row r="44" spans="1:5" ht="12.75" outlineLevel="2">
      <c r="A44" s="8" t="s">
        <v>1392</v>
      </c>
      <c r="B44" s="29" t="s">
        <v>1961</v>
      </c>
      <c r="C44" s="8" t="s">
        <v>1393</v>
      </c>
      <c r="D44" s="31">
        <v>3005.02</v>
      </c>
      <c r="E44" s="46"/>
    </row>
    <row r="45" spans="1:5" ht="12.75" outlineLevel="2">
      <c r="A45" s="55" t="s">
        <v>1457</v>
      </c>
      <c r="B45" s="52" t="s">
        <v>1961</v>
      </c>
      <c r="C45" s="55" t="s">
        <v>1458</v>
      </c>
      <c r="D45" s="31">
        <v>4629</v>
      </c>
      <c r="E45" s="46"/>
    </row>
    <row r="46" spans="1:5" ht="25.5" outlineLevel="2">
      <c r="A46" s="8" t="s">
        <v>1632</v>
      </c>
      <c r="B46" s="52" t="s">
        <v>1961</v>
      </c>
      <c r="C46" s="55" t="s">
        <v>1638</v>
      </c>
      <c r="D46" s="31">
        <v>29.74</v>
      </c>
      <c r="E46" s="46"/>
    </row>
    <row r="47" spans="1:5" ht="25.5" outlineLevel="2">
      <c r="A47" s="8" t="s">
        <v>1634</v>
      </c>
      <c r="B47" s="52" t="s">
        <v>1961</v>
      </c>
      <c r="C47" s="55" t="s">
        <v>1638</v>
      </c>
      <c r="D47" s="31">
        <v>44.61</v>
      </c>
      <c r="E47" s="46"/>
    </row>
    <row r="48" spans="1:5" ht="25.5" outlineLevel="2">
      <c r="A48" s="8" t="s">
        <v>1633</v>
      </c>
      <c r="B48" s="52" t="s">
        <v>1961</v>
      </c>
      <c r="C48" s="55" t="s">
        <v>1638</v>
      </c>
      <c r="D48" s="31">
        <v>29.74</v>
      </c>
      <c r="E48" s="46"/>
    </row>
    <row r="49" spans="1:5" ht="25.5" outlineLevel="2">
      <c r="A49" s="8" t="s">
        <v>1653</v>
      </c>
      <c r="B49" s="29" t="s">
        <v>1961</v>
      </c>
      <c r="C49" s="55" t="s">
        <v>2727</v>
      </c>
      <c r="D49" s="84">
        <v>1566.28</v>
      </c>
      <c r="E49" s="46"/>
    </row>
    <row r="50" spans="1:5" ht="12.75" outlineLevel="2">
      <c r="A50" s="8" t="s">
        <v>1513</v>
      </c>
      <c r="B50" s="29" t="s">
        <v>1961</v>
      </c>
      <c r="C50" s="8" t="s">
        <v>1514</v>
      </c>
      <c r="D50" s="31">
        <v>18470.88</v>
      </c>
      <c r="E50" s="46"/>
    </row>
    <row r="51" spans="1:5" ht="12.75" outlineLevel="1">
      <c r="A51" s="117" t="s">
        <v>1340</v>
      </c>
      <c r="B51" s="118"/>
      <c r="C51" s="119"/>
      <c r="D51" s="28">
        <f>SUM(D52:D52)</f>
        <v>1002.77</v>
      </c>
      <c r="E51" s="46"/>
    </row>
    <row r="52" spans="1:5" ht="12.75" outlineLevel="2">
      <c r="A52" s="9" t="s">
        <v>1982</v>
      </c>
      <c r="B52" s="29" t="s">
        <v>1959</v>
      </c>
      <c r="C52" s="7" t="s">
        <v>1983</v>
      </c>
      <c r="D52" s="30">
        <v>1002.77</v>
      </c>
      <c r="E52" s="46"/>
    </row>
    <row r="53" spans="1:5" ht="12.75" outlineLevel="1">
      <c r="A53" s="117" t="s">
        <v>1344</v>
      </c>
      <c r="B53" s="118"/>
      <c r="C53" s="119"/>
      <c r="D53" s="28">
        <f>SUM(D54:D65)</f>
        <v>252863.82</v>
      </c>
      <c r="E53" s="46"/>
    </row>
    <row r="54" spans="1:5" ht="12.75" outlineLevel="2">
      <c r="A54" s="7"/>
      <c r="B54" s="29" t="s">
        <v>849</v>
      </c>
      <c r="C54" s="7" t="s">
        <v>1950</v>
      </c>
      <c r="D54" s="30">
        <f>3571.85+3113.92+1877.51+4396.13+7281.09+1190.62+2839.17</f>
        <v>24270.29</v>
      </c>
      <c r="E54" s="46"/>
    </row>
    <row r="55" spans="1:5" ht="12.75" outlineLevel="2">
      <c r="A55" s="7"/>
      <c r="B55" s="29" t="s">
        <v>1951</v>
      </c>
      <c r="C55" s="7" t="s">
        <v>1950</v>
      </c>
      <c r="D55" s="30">
        <f>3571.85+3113.92+91.59+1877.51+4396.13+7281.09+1901.62+2839.17</f>
        <v>25072.879999999997</v>
      </c>
      <c r="E55" s="46"/>
    </row>
    <row r="56" spans="1:5" ht="12.75" outlineLevel="2">
      <c r="A56" s="7"/>
      <c r="B56" s="29" t="s">
        <v>1952</v>
      </c>
      <c r="C56" s="7" t="s">
        <v>1950</v>
      </c>
      <c r="D56" s="30">
        <f>3571.85+3113.92+91.59+1877.51+4396.13+7281.09+1190.62+2839.17+274.76</f>
        <v>24636.639999999996</v>
      </c>
      <c r="E56" s="46"/>
    </row>
    <row r="57" spans="1:5" ht="12.75" outlineLevel="2">
      <c r="A57" s="7"/>
      <c r="B57" s="29" t="s">
        <v>1953</v>
      </c>
      <c r="C57" s="7" t="s">
        <v>1950</v>
      </c>
      <c r="D57" s="30">
        <f>3571.85+2770.48+91.59+6273.64+1740.13+1190.62+2839.17+236.29</f>
        <v>18713.770000000004</v>
      </c>
      <c r="E57" s="46"/>
    </row>
    <row r="58" spans="1:5" ht="12.75" outlineLevel="2">
      <c r="A58" s="7"/>
      <c r="B58" s="29" t="s">
        <v>1954</v>
      </c>
      <c r="C58" s="7" t="s">
        <v>1950</v>
      </c>
      <c r="D58" s="30">
        <f>3571.85+2427.03+91.59+6319.43+1648.55+1099.03+2839.17+2839.17+247.28</f>
        <v>21083.1</v>
      </c>
      <c r="E58" s="46"/>
    </row>
    <row r="59" spans="1:5" ht="12.75" outlineLevel="2">
      <c r="A59" s="7"/>
      <c r="B59" s="29" t="s">
        <v>1955</v>
      </c>
      <c r="C59" s="7" t="s">
        <v>1950</v>
      </c>
      <c r="D59" s="30">
        <f>1785.93+1213.51+45.79+3113.92+824.27+549.52+1419.58</f>
        <v>8952.52</v>
      </c>
      <c r="E59" s="46"/>
    </row>
    <row r="60" spans="1:5" ht="12.75" outlineLevel="2">
      <c r="A60" s="7"/>
      <c r="B60" s="29" t="s">
        <v>1956</v>
      </c>
      <c r="C60" s="7" t="s">
        <v>1950</v>
      </c>
      <c r="D60" s="30">
        <f>3983.99+2701.79+91.59+6960.54+1831.72+1236.41+3159.72</f>
        <v>19965.760000000002</v>
      </c>
      <c r="E60" s="46"/>
    </row>
    <row r="61" spans="1:5" ht="12.75" outlineLevel="2">
      <c r="A61" s="7"/>
      <c r="B61" s="29" t="s">
        <v>1957</v>
      </c>
      <c r="C61" s="7" t="s">
        <v>1950</v>
      </c>
      <c r="D61" s="30">
        <f>3983.99+2701.79+91.59+6960.54+1831.72+1236.41+3159.72+3159.72+5769.92</f>
        <v>28895.4</v>
      </c>
      <c r="E61" s="46"/>
    </row>
    <row r="62" spans="1:5" ht="12.75" outlineLevel="2">
      <c r="A62" s="7"/>
      <c r="B62" s="29" t="s">
        <v>1958</v>
      </c>
      <c r="C62" s="7" t="s">
        <v>1950</v>
      </c>
      <c r="D62" s="30">
        <f>3983.99+2701.79+91.59+6960.54+1831.72+1236.41+3159.72</f>
        <v>19965.760000000002</v>
      </c>
      <c r="E62" s="46"/>
    </row>
    <row r="63" spans="1:5" ht="12.75" outlineLevel="2">
      <c r="A63" s="7"/>
      <c r="B63" s="29" t="s">
        <v>1959</v>
      </c>
      <c r="C63" s="7" t="s">
        <v>1950</v>
      </c>
      <c r="D63" s="30">
        <f>3983.99+2701.79+91.59+6960.54+1831.72+1236.41+3159.72</f>
        <v>19965.760000000002</v>
      </c>
      <c r="E63" s="46"/>
    </row>
    <row r="64" spans="1:5" ht="12.75" outlineLevel="2">
      <c r="A64" s="7"/>
      <c r="B64" s="29" t="s">
        <v>1960</v>
      </c>
      <c r="C64" s="7" t="s">
        <v>1950</v>
      </c>
      <c r="D64" s="30">
        <f>3983.99+3480.27+91.59+2106.48+4899.85+2060.69+1236.41+3159.72</f>
        <v>21019</v>
      </c>
      <c r="E64" s="46"/>
    </row>
    <row r="65" spans="1:5" ht="12.75" outlineLevel="2">
      <c r="A65" s="11"/>
      <c r="B65" s="29" t="s">
        <v>1961</v>
      </c>
      <c r="C65" s="7" t="s">
        <v>1950</v>
      </c>
      <c r="D65" s="30">
        <f>3983.99+2784.21+91.59+2106.48+4899.85+2060.69+1236.41+3159.72</f>
        <v>20322.940000000002</v>
      </c>
      <c r="E65" s="46"/>
    </row>
    <row r="66" spans="1:5" ht="12.75" outlineLevel="1">
      <c r="A66" s="117" t="s">
        <v>1346</v>
      </c>
      <c r="B66" s="118"/>
      <c r="C66" s="119"/>
      <c r="D66" s="28">
        <f>SUM(D67:D75)</f>
        <v>6256.249999999999</v>
      </c>
      <c r="E66" s="46"/>
    </row>
    <row r="67" spans="1:5" ht="12.75" outlineLevel="2">
      <c r="A67" s="7" t="s">
        <v>2059</v>
      </c>
      <c r="B67" s="29" t="s">
        <v>849</v>
      </c>
      <c r="C67" s="7" t="s">
        <v>2056</v>
      </c>
      <c r="D67" s="30">
        <v>2160</v>
      </c>
      <c r="E67" s="46"/>
    </row>
    <row r="68" spans="1:5" ht="12.75" outlineLevel="2">
      <c r="A68" s="51" t="s">
        <v>2196</v>
      </c>
      <c r="B68" s="52" t="s">
        <v>849</v>
      </c>
      <c r="C68" s="51" t="s">
        <v>2197</v>
      </c>
      <c r="D68" s="30">
        <v>2465.22</v>
      </c>
      <c r="E68" s="46"/>
    </row>
    <row r="69" spans="1:5" ht="14.25" customHeight="1" outlineLevel="2">
      <c r="A69" s="63" t="s">
        <v>2241</v>
      </c>
      <c r="B69" s="29" t="s">
        <v>1952</v>
      </c>
      <c r="C69" s="7" t="s">
        <v>2388</v>
      </c>
      <c r="D69" s="30">
        <v>400</v>
      </c>
      <c r="E69" s="46"/>
    </row>
    <row r="70" spans="1:5" ht="14.25" customHeight="1" outlineLevel="2">
      <c r="A70" s="63" t="s">
        <v>2241</v>
      </c>
      <c r="B70" s="29" t="s">
        <v>1952</v>
      </c>
      <c r="C70" s="7" t="s">
        <v>2389</v>
      </c>
      <c r="D70" s="30">
        <v>39</v>
      </c>
      <c r="E70" s="46"/>
    </row>
    <row r="71" spans="1:5" ht="13.5" customHeight="1" outlineLevel="2">
      <c r="A71" s="63" t="s">
        <v>2241</v>
      </c>
      <c r="B71" s="29" t="s">
        <v>1952</v>
      </c>
      <c r="C71" s="7" t="s">
        <v>2390</v>
      </c>
      <c r="D71" s="30">
        <v>233.33</v>
      </c>
      <c r="E71" s="46"/>
    </row>
    <row r="72" spans="1:5" ht="12.75" customHeight="1" outlineLevel="2">
      <c r="A72" s="63" t="s">
        <v>2240</v>
      </c>
      <c r="B72" s="29" t="s">
        <v>1952</v>
      </c>
      <c r="C72" s="7" t="s">
        <v>2393</v>
      </c>
      <c r="D72" s="30">
        <v>200</v>
      </c>
      <c r="E72" s="46"/>
    </row>
    <row r="73" spans="1:5" ht="12.75" customHeight="1" outlineLevel="2">
      <c r="A73" s="63" t="s">
        <v>2240</v>
      </c>
      <c r="B73" s="29" t="s">
        <v>1952</v>
      </c>
      <c r="C73" s="7" t="s">
        <v>2394</v>
      </c>
      <c r="D73" s="30">
        <v>19.5</v>
      </c>
      <c r="E73" s="46"/>
    </row>
    <row r="74" spans="1:5" ht="13.5" customHeight="1" outlineLevel="2">
      <c r="A74" s="63" t="s">
        <v>2240</v>
      </c>
      <c r="B74" s="29" t="s">
        <v>1952</v>
      </c>
      <c r="C74" s="7" t="s">
        <v>2390</v>
      </c>
      <c r="D74" s="30">
        <v>350</v>
      </c>
      <c r="E74" s="46"/>
    </row>
    <row r="75" spans="1:5" ht="12.75" outlineLevel="2">
      <c r="A75" s="51" t="s">
        <v>220</v>
      </c>
      <c r="B75" s="52" t="s">
        <v>1961</v>
      </c>
      <c r="C75" s="51" t="s">
        <v>221</v>
      </c>
      <c r="D75" s="30">
        <v>389.2</v>
      </c>
      <c r="E75" s="46"/>
    </row>
    <row r="76" spans="1:5" ht="12.75" outlineLevel="1">
      <c r="A76" s="117" t="s">
        <v>1341</v>
      </c>
      <c r="B76" s="118"/>
      <c r="C76" s="119"/>
      <c r="D76" s="28">
        <f>SUM(D77:D84)</f>
        <v>10188.13</v>
      </c>
      <c r="E76" s="46"/>
    </row>
    <row r="77" spans="1:5" ht="12.75" outlineLevel="2">
      <c r="A77" s="7" t="s">
        <v>306</v>
      </c>
      <c r="B77" s="29" t="s">
        <v>1951</v>
      </c>
      <c r="C77" s="7" t="s">
        <v>307</v>
      </c>
      <c r="D77" s="30">
        <v>939</v>
      </c>
      <c r="E77" s="46"/>
    </row>
    <row r="78" spans="1:5" ht="12.75" outlineLevel="2">
      <c r="A78" s="7" t="s">
        <v>514</v>
      </c>
      <c r="B78" s="29" t="s">
        <v>1952</v>
      </c>
      <c r="C78" s="7" t="s">
        <v>516</v>
      </c>
      <c r="D78" s="30">
        <v>191</v>
      </c>
      <c r="E78" s="46"/>
    </row>
    <row r="79" spans="1:5" ht="12.75" outlineLevel="2">
      <c r="A79" s="7" t="s">
        <v>1257</v>
      </c>
      <c r="B79" s="29" t="s">
        <v>1954</v>
      </c>
      <c r="C79" s="7" t="s">
        <v>1258</v>
      </c>
      <c r="D79" s="30">
        <v>2250</v>
      </c>
      <c r="E79" s="46"/>
    </row>
    <row r="80" spans="1:5" ht="12.75" outlineLevel="2">
      <c r="A80" s="7" t="s">
        <v>2431</v>
      </c>
      <c r="B80" s="29" t="s">
        <v>1959</v>
      </c>
      <c r="C80" s="7" t="s">
        <v>2434</v>
      </c>
      <c r="D80" s="30">
        <v>75.7</v>
      </c>
      <c r="E80" s="46"/>
    </row>
    <row r="81" spans="1:5" ht="12.75" outlineLevel="2">
      <c r="A81" s="7" t="s">
        <v>2046</v>
      </c>
      <c r="B81" s="29" t="s">
        <v>1960</v>
      </c>
      <c r="C81" s="7" t="s">
        <v>2047</v>
      </c>
      <c r="D81" s="30">
        <v>2246.52</v>
      </c>
      <c r="E81" s="46"/>
    </row>
    <row r="82" spans="1:5" ht="12.75" outlineLevel="2">
      <c r="A82" s="7" t="s">
        <v>258</v>
      </c>
      <c r="B82" s="29" t="s">
        <v>1960</v>
      </c>
      <c r="C82" s="7" t="s">
        <v>261</v>
      </c>
      <c r="D82" s="30">
        <v>4039.68</v>
      </c>
      <c r="E82" s="46"/>
    </row>
    <row r="83" spans="1:5" ht="12.75" outlineLevel="2">
      <c r="A83" s="8" t="s">
        <v>764</v>
      </c>
      <c r="B83" s="29" t="s">
        <v>1961</v>
      </c>
      <c r="C83" s="55" t="s">
        <v>2244</v>
      </c>
      <c r="D83" s="31">
        <v>110.98</v>
      </c>
      <c r="E83" s="46"/>
    </row>
    <row r="84" spans="1:5" ht="12.75" outlineLevel="2">
      <c r="A84" s="7" t="s">
        <v>1420</v>
      </c>
      <c r="B84" s="29" t="s">
        <v>1961</v>
      </c>
      <c r="C84" s="7" t="s">
        <v>1385</v>
      </c>
      <c r="D84" s="30">
        <v>335.25</v>
      </c>
      <c r="E84" s="46"/>
    </row>
    <row r="85" spans="1:5" ht="12.75" outlineLevel="1">
      <c r="A85" s="117" t="s">
        <v>1347</v>
      </c>
      <c r="B85" s="118"/>
      <c r="C85" s="119"/>
      <c r="D85" s="28">
        <f>SUM(D86:D86)</f>
        <v>6280.67</v>
      </c>
      <c r="E85" s="46"/>
    </row>
    <row r="86" spans="1:5" ht="12.75" outlineLevel="2">
      <c r="A86" s="11"/>
      <c r="B86" s="29"/>
      <c r="C86" s="7" t="s">
        <v>239</v>
      </c>
      <c r="D86" s="30">
        <f>851.2+5429.47</f>
        <v>6280.67</v>
      </c>
      <c r="E86" s="46"/>
    </row>
    <row r="87" spans="1:6" ht="12.75">
      <c r="A87" s="6">
        <v>4538.3</v>
      </c>
      <c r="B87" s="6" t="s">
        <v>1356</v>
      </c>
      <c r="C87" s="37" t="s">
        <v>1345</v>
      </c>
      <c r="D87" s="23">
        <f>(4538.3*6*1.46)+(4538.3*6*1.63)</f>
        <v>84140.082</v>
      </c>
      <c r="E87" s="46"/>
      <c r="F87" s="37" t="s">
        <v>1352</v>
      </c>
    </row>
    <row r="88" spans="1:6" ht="13.5" thickBot="1">
      <c r="A88" s="6">
        <v>4538.3</v>
      </c>
      <c r="B88" s="6" t="s">
        <v>1356</v>
      </c>
      <c r="C88" s="37" t="s">
        <v>1357</v>
      </c>
      <c r="D88" s="23">
        <f>(4538.3*6*0.1)+(4538.3*6*0.11)</f>
        <v>5718.258000000001</v>
      </c>
      <c r="E88" s="46"/>
      <c r="F88" s="37" t="s">
        <v>1351</v>
      </c>
    </row>
    <row r="89" spans="1:6" ht="12.75" customHeight="1" thickTop="1">
      <c r="A89" s="132" t="s">
        <v>1361</v>
      </c>
      <c r="B89" s="133"/>
      <c r="C89" s="134"/>
      <c r="D89" s="76">
        <f>(4538.3*6*0.94)+(4538.3*6*1.03)</f>
        <v>53642.706000000006</v>
      </c>
      <c r="E89" s="48"/>
      <c r="F89" s="14" t="s">
        <v>787</v>
      </c>
    </row>
    <row r="90" spans="1:6" ht="12.75" customHeight="1">
      <c r="A90" s="125" t="s">
        <v>1350</v>
      </c>
      <c r="B90" s="126"/>
      <c r="C90" s="127"/>
      <c r="D90" s="76">
        <f>(4538.3*6*1.57)+(4538.3*6*1.75)</f>
        <v>90402.93600000002</v>
      </c>
      <c r="E90" s="48"/>
      <c r="F90" s="14" t="s">
        <v>788</v>
      </c>
    </row>
    <row r="91" spans="1:6" ht="12.75" customHeight="1">
      <c r="A91" s="125" t="s">
        <v>1362</v>
      </c>
      <c r="B91" s="126"/>
      <c r="C91" s="127"/>
      <c r="D91" s="16">
        <f>10.3*(D93+D94)/100</f>
        <v>128627.09113</v>
      </c>
      <c r="E91" s="48"/>
      <c r="F91" s="14" t="s">
        <v>789</v>
      </c>
    </row>
    <row r="92" spans="1:6" ht="12.75" customHeight="1">
      <c r="A92" s="120" t="s">
        <v>1363</v>
      </c>
      <c r="B92" s="121"/>
      <c r="C92" s="122"/>
      <c r="D92" s="41">
        <f>D91+D90+D89+D6+D3</f>
        <v>789660.30313</v>
      </c>
      <c r="E92" s="48">
        <v>1</v>
      </c>
      <c r="F92" s="14" t="s">
        <v>790</v>
      </c>
    </row>
    <row r="93" spans="1:6" ht="12.75" customHeight="1">
      <c r="A93" s="114" t="s">
        <v>1364</v>
      </c>
      <c r="B93" s="115"/>
      <c r="C93" s="116"/>
      <c r="D93" s="18">
        <v>1110826.67</v>
      </c>
      <c r="E93" s="48">
        <v>2</v>
      </c>
      <c r="F93" s="27"/>
    </row>
    <row r="94" spans="1:6" ht="12.75" customHeight="1">
      <c r="A94" s="114" t="s">
        <v>1365</v>
      </c>
      <c r="B94" s="115"/>
      <c r="C94" s="116"/>
      <c r="D94" s="18">
        <v>137980.04</v>
      </c>
      <c r="E94" s="48">
        <v>3</v>
      </c>
      <c r="F94" s="37" t="s">
        <v>1352</v>
      </c>
    </row>
    <row r="95" spans="1:6" ht="12.75" customHeight="1">
      <c r="A95" s="114" t="s">
        <v>2221</v>
      </c>
      <c r="B95" s="115"/>
      <c r="C95" s="116"/>
      <c r="D95" s="19">
        <f>1218622.82+D93</f>
        <v>2329449.49</v>
      </c>
      <c r="E95" s="48">
        <v>4</v>
      </c>
      <c r="F95" s="37" t="s">
        <v>791</v>
      </c>
    </row>
    <row r="96" spans="1:6" ht="13.5" customHeight="1">
      <c r="A96" s="114" t="s">
        <v>2222</v>
      </c>
      <c r="B96" s="115"/>
      <c r="C96" s="116"/>
      <c r="D96" s="19">
        <f>407692.97+D101</f>
        <v>809498.75</v>
      </c>
      <c r="E96" s="48">
        <v>5</v>
      </c>
      <c r="F96" s="14" t="s">
        <v>843</v>
      </c>
    </row>
    <row r="97" spans="1:6" ht="25.5" customHeight="1">
      <c r="A97" s="120" t="s">
        <v>2223</v>
      </c>
      <c r="B97" s="121"/>
      <c r="C97" s="122"/>
      <c r="D97" s="42">
        <f>807858.77+D92</f>
        <v>1597519.07313</v>
      </c>
      <c r="E97" s="48">
        <v>6</v>
      </c>
      <c r="F97" s="14" t="s">
        <v>844</v>
      </c>
    </row>
    <row r="98" spans="1:6" ht="12.75" customHeight="1">
      <c r="A98" s="114" t="s">
        <v>2224</v>
      </c>
      <c r="B98" s="115"/>
      <c r="C98" s="116"/>
      <c r="D98" s="19">
        <f>162757+D94</f>
        <v>300737.04000000004</v>
      </c>
      <c r="E98" s="48">
        <v>7</v>
      </c>
      <c r="F98" s="14" t="s">
        <v>845</v>
      </c>
    </row>
    <row r="99" spans="1:6" ht="12.75" customHeight="1">
      <c r="A99" s="114" t="s">
        <v>2228</v>
      </c>
      <c r="B99" s="115"/>
      <c r="C99" s="116"/>
      <c r="D99" s="19">
        <f>56451.9+D102</f>
        <v>106361.73999999999</v>
      </c>
      <c r="E99" s="48">
        <v>8</v>
      </c>
      <c r="F99" s="14" t="s">
        <v>787</v>
      </c>
    </row>
    <row r="100" spans="1:6" ht="12.75" customHeight="1">
      <c r="A100" s="120" t="s">
        <v>2230</v>
      </c>
      <c r="B100" s="121"/>
      <c r="C100" s="122"/>
      <c r="D100" s="42">
        <v>0</v>
      </c>
      <c r="E100" s="48">
        <v>9</v>
      </c>
      <c r="F100" s="14" t="s">
        <v>846</v>
      </c>
    </row>
    <row r="101" spans="1:6" ht="12.75" customHeight="1">
      <c r="A101" s="114" t="s">
        <v>779</v>
      </c>
      <c r="B101" s="115"/>
      <c r="C101" s="116"/>
      <c r="D101" s="18">
        <v>401805.78</v>
      </c>
      <c r="E101" s="48">
        <v>10</v>
      </c>
      <c r="F101" s="14" t="s">
        <v>847</v>
      </c>
    </row>
    <row r="102" spans="1:6" ht="12.75" customHeight="1">
      <c r="A102" s="114" t="s">
        <v>780</v>
      </c>
      <c r="B102" s="115"/>
      <c r="C102" s="116"/>
      <c r="D102" s="18">
        <v>49909.84</v>
      </c>
      <c r="E102" s="48">
        <v>11</v>
      </c>
      <c r="F102" s="14" t="s">
        <v>848</v>
      </c>
    </row>
    <row r="103" spans="1:6" ht="12.75" customHeight="1">
      <c r="A103" s="120" t="s">
        <v>781</v>
      </c>
      <c r="B103" s="121"/>
      <c r="C103" s="122"/>
      <c r="D103" s="41">
        <v>0</v>
      </c>
      <c r="E103" s="48">
        <v>12</v>
      </c>
      <c r="F103" s="43"/>
    </row>
    <row r="104" spans="1:6" ht="27" customHeight="1">
      <c r="A104" s="108" t="s">
        <v>782</v>
      </c>
      <c r="B104" s="109"/>
      <c r="C104" s="110"/>
      <c r="D104" s="26">
        <f>D95-D97</f>
        <v>731930.4168700003</v>
      </c>
      <c r="E104" s="48">
        <v>13</v>
      </c>
      <c r="F104" s="43"/>
    </row>
    <row r="105" spans="1:6" ht="25.5" customHeight="1">
      <c r="A105" s="108" t="s">
        <v>783</v>
      </c>
      <c r="B105" s="109"/>
      <c r="C105" s="110"/>
      <c r="D105" s="26">
        <f>D98-D100</f>
        <v>300737.04000000004</v>
      </c>
      <c r="E105" s="48">
        <v>14</v>
      </c>
      <c r="F105" s="43"/>
    </row>
    <row r="106" spans="1:6" ht="25.5" customHeight="1">
      <c r="A106" s="108" t="s">
        <v>718</v>
      </c>
      <c r="B106" s="109"/>
      <c r="C106" s="110"/>
      <c r="D106" s="26">
        <f>D96-D97</f>
        <v>-788020.3231299999</v>
      </c>
      <c r="E106" s="48">
        <v>15</v>
      </c>
      <c r="F106" s="43"/>
    </row>
    <row r="107" ht="12.75">
      <c r="F107" s="43"/>
    </row>
  </sheetData>
  <sheetProtection/>
  <mergeCells count="28">
    <mergeCell ref="A66:C66"/>
    <mergeCell ref="A76:C76"/>
    <mergeCell ref="A85:C85"/>
    <mergeCell ref="A51:C51"/>
    <mergeCell ref="A3:C3"/>
    <mergeCell ref="A4:C4"/>
    <mergeCell ref="A6:C6"/>
    <mergeCell ref="A7:C7"/>
    <mergeCell ref="A53:C53"/>
    <mergeCell ref="A98:C98"/>
    <mergeCell ref="A89:C89"/>
    <mergeCell ref="A90:C90"/>
    <mergeCell ref="A91:C91"/>
    <mergeCell ref="A92:C92"/>
    <mergeCell ref="A93:C93"/>
    <mergeCell ref="A94:C94"/>
    <mergeCell ref="A96:C96"/>
    <mergeCell ref="A97:C97"/>
    <mergeCell ref="A1:D1"/>
    <mergeCell ref="A105:C105"/>
    <mergeCell ref="A106:C106"/>
    <mergeCell ref="A99:C99"/>
    <mergeCell ref="A100:C100"/>
    <mergeCell ref="A101:C101"/>
    <mergeCell ref="A102:C102"/>
    <mergeCell ref="A103:C103"/>
    <mergeCell ref="A104:C104"/>
    <mergeCell ref="A95:C95"/>
  </mergeCells>
  <printOptions/>
  <pageMargins left="0.3" right="0.17" top="0.75" bottom="0.75" header="0.3" footer="0.3"/>
  <pageSetup horizontalDpi="600" verticalDpi="600" orientation="portrait" paperSize="9" r:id="rId1"/>
  <ignoredErrors>
    <ignoredError sqref="D6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6" sqref="A1:D106"/>
    </sheetView>
  </sheetViews>
  <sheetFormatPr defaultColWidth="13.421875" defaultRowHeight="12.75" outlineLevelRow="2"/>
  <cols>
    <col min="1" max="1" width="11.8515625" style="1" customWidth="1"/>
    <col min="2" max="2" width="10.281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2.25" customHeight="1" thickBot="1">
      <c r="A1" s="135" t="s">
        <v>1594</v>
      </c>
      <c r="B1" s="136"/>
      <c r="C1" s="136"/>
      <c r="D1" s="136"/>
    </row>
    <row r="2" spans="1:5" ht="21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D4+D48+D52+D64+D77+D84+D88+D89</f>
        <v>359129.86</v>
      </c>
      <c r="E3" s="45"/>
    </row>
    <row r="4" spans="1:5" ht="13.5" outlineLevel="1" thickTop="1">
      <c r="A4" s="111" t="s">
        <v>1354</v>
      </c>
      <c r="B4" s="112"/>
      <c r="C4" s="113"/>
      <c r="D4" s="28">
        <f>SUM(D5:D47)</f>
        <v>86309.26000000002</v>
      </c>
      <c r="E4" s="46"/>
    </row>
    <row r="5" spans="1:5" ht="12.75" customHeight="1" outlineLevel="2">
      <c r="A5" s="7" t="s">
        <v>140</v>
      </c>
      <c r="B5" s="29" t="s">
        <v>849</v>
      </c>
      <c r="C5" s="7" t="s">
        <v>141</v>
      </c>
      <c r="D5" s="30">
        <v>550</v>
      </c>
      <c r="E5" s="46"/>
    </row>
    <row r="6" spans="1:5" ht="12.75" customHeight="1" outlineLevel="2">
      <c r="A6" s="7" t="s">
        <v>1060</v>
      </c>
      <c r="B6" s="29" t="s">
        <v>849</v>
      </c>
      <c r="C6" s="7" t="s">
        <v>1107</v>
      </c>
      <c r="D6" s="30">
        <v>1942</v>
      </c>
      <c r="E6" s="46"/>
    </row>
    <row r="7" spans="1:5" ht="12.75" customHeight="1" outlineLevel="2">
      <c r="A7" s="7" t="s">
        <v>1096</v>
      </c>
      <c r="B7" s="29" t="s">
        <v>849</v>
      </c>
      <c r="C7" s="7" t="s">
        <v>1113</v>
      </c>
      <c r="D7" s="30">
        <v>1119</v>
      </c>
      <c r="E7" s="46"/>
    </row>
    <row r="8" spans="1:5" ht="12.75" customHeight="1" outlineLevel="2">
      <c r="A8" s="7" t="s">
        <v>1183</v>
      </c>
      <c r="B8" s="29" t="s">
        <v>849</v>
      </c>
      <c r="C8" s="7" t="s">
        <v>1184</v>
      </c>
      <c r="D8" s="30">
        <v>1756</v>
      </c>
      <c r="E8" s="46"/>
    </row>
    <row r="9" spans="1:5" ht="12.75" customHeight="1" outlineLevel="2">
      <c r="A9" s="7" t="s">
        <v>1185</v>
      </c>
      <c r="B9" s="29" t="s">
        <v>849</v>
      </c>
      <c r="C9" s="7" t="s">
        <v>1186</v>
      </c>
      <c r="D9" s="30">
        <v>3687</v>
      </c>
      <c r="E9" s="46"/>
    </row>
    <row r="10" spans="1:5" ht="12.75" customHeight="1" outlineLevel="2">
      <c r="A10" s="51" t="s">
        <v>1944</v>
      </c>
      <c r="B10" s="52" t="s">
        <v>849</v>
      </c>
      <c r="C10" s="51" t="s">
        <v>1945</v>
      </c>
      <c r="D10" s="30">
        <v>3525</v>
      </c>
      <c r="E10" s="46"/>
    </row>
    <row r="11" spans="1:5" ht="12.75" customHeight="1" outlineLevel="2">
      <c r="A11" s="7" t="s">
        <v>2180</v>
      </c>
      <c r="B11" s="29" t="s">
        <v>849</v>
      </c>
      <c r="C11" s="7" t="s">
        <v>2174</v>
      </c>
      <c r="D11" s="30">
        <v>94.7</v>
      </c>
      <c r="E11" s="46"/>
    </row>
    <row r="12" spans="1:5" ht="12.75" customHeight="1" outlineLevel="2">
      <c r="A12" s="51" t="s">
        <v>2182</v>
      </c>
      <c r="B12" s="52" t="s">
        <v>849</v>
      </c>
      <c r="C12" s="51" t="s">
        <v>2200</v>
      </c>
      <c r="D12" s="30">
        <v>94.7</v>
      </c>
      <c r="E12" s="46"/>
    </row>
    <row r="13" spans="1:5" ht="12.75" customHeight="1" outlineLevel="2">
      <c r="A13" s="51" t="s">
        <v>2208</v>
      </c>
      <c r="B13" s="52" t="s">
        <v>849</v>
      </c>
      <c r="C13" s="51" t="s">
        <v>2200</v>
      </c>
      <c r="D13" s="30">
        <v>307.77</v>
      </c>
      <c r="E13" s="46"/>
    </row>
    <row r="14" spans="1:5" ht="12.75" customHeight="1" outlineLevel="2">
      <c r="A14" s="7" t="s">
        <v>659</v>
      </c>
      <c r="B14" s="29" t="s">
        <v>1951</v>
      </c>
      <c r="C14" s="7" t="s">
        <v>660</v>
      </c>
      <c r="D14" s="30">
        <v>1256</v>
      </c>
      <c r="E14" s="46"/>
    </row>
    <row r="15" spans="1:5" ht="12.75" customHeight="1" outlineLevel="2">
      <c r="A15" s="8" t="s">
        <v>696</v>
      </c>
      <c r="B15" s="29" t="s">
        <v>1951</v>
      </c>
      <c r="C15" s="7" t="s">
        <v>698</v>
      </c>
      <c r="D15" s="31">
        <v>1835</v>
      </c>
      <c r="E15" s="46"/>
    </row>
    <row r="16" spans="1:5" ht="12.75" customHeight="1" outlineLevel="2">
      <c r="A16" s="8" t="s">
        <v>491</v>
      </c>
      <c r="B16" s="29" t="s">
        <v>1952</v>
      </c>
      <c r="C16" s="7" t="s">
        <v>492</v>
      </c>
      <c r="D16" s="31">
        <v>2212</v>
      </c>
      <c r="E16" s="46"/>
    </row>
    <row r="17" spans="1:5" ht="12.75" outlineLevel="2">
      <c r="A17" s="7" t="s">
        <v>555</v>
      </c>
      <c r="B17" s="29" t="s">
        <v>1952</v>
      </c>
      <c r="C17" s="7" t="s">
        <v>2200</v>
      </c>
      <c r="D17" s="30">
        <v>6.94</v>
      </c>
      <c r="E17" s="46"/>
    </row>
    <row r="18" spans="1:5" ht="12.75" customHeight="1" outlineLevel="2">
      <c r="A18" s="8" t="s">
        <v>2326</v>
      </c>
      <c r="B18" s="29" t="s">
        <v>1953</v>
      </c>
      <c r="C18" s="7" t="s">
        <v>1301</v>
      </c>
      <c r="D18" s="31">
        <v>94.7</v>
      </c>
      <c r="E18" s="46"/>
    </row>
    <row r="19" spans="1:5" ht="12.75" customHeight="1" outlineLevel="2">
      <c r="A19" s="8" t="s">
        <v>1317</v>
      </c>
      <c r="B19" s="29" t="s">
        <v>1953</v>
      </c>
      <c r="C19" s="7" t="s">
        <v>2200</v>
      </c>
      <c r="D19" s="31">
        <v>20.82</v>
      </c>
      <c r="E19" s="46"/>
    </row>
    <row r="20" spans="1:5" ht="12.75" customHeight="1" outlineLevel="2">
      <c r="A20" s="55" t="s">
        <v>2627</v>
      </c>
      <c r="B20" s="52" t="s">
        <v>1954</v>
      </c>
      <c r="C20" s="51" t="s">
        <v>2628</v>
      </c>
      <c r="D20" s="31">
        <v>818</v>
      </c>
      <c r="E20" s="46"/>
    </row>
    <row r="21" spans="1:5" ht="12.75" customHeight="1" outlineLevel="2">
      <c r="A21" s="8" t="s">
        <v>2674</v>
      </c>
      <c r="B21" s="29" t="s">
        <v>1954</v>
      </c>
      <c r="C21" s="7" t="s">
        <v>2677</v>
      </c>
      <c r="D21" s="31">
        <v>27</v>
      </c>
      <c r="E21" s="46"/>
    </row>
    <row r="22" spans="1:5" ht="12.75" customHeight="1" outlineLevel="2">
      <c r="A22" s="8" t="s">
        <v>2705</v>
      </c>
      <c r="B22" s="29" t="s">
        <v>1954</v>
      </c>
      <c r="C22" s="7" t="s">
        <v>2706</v>
      </c>
      <c r="D22" s="31">
        <v>522</v>
      </c>
      <c r="E22" s="46"/>
    </row>
    <row r="23" spans="1:5" ht="12.75" customHeight="1" outlineLevel="2">
      <c r="A23" s="8" t="s">
        <v>560</v>
      </c>
      <c r="B23" s="29" t="s">
        <v>1954</v>
      </c>
      <c r="C23" s="7" t="s">
        <v>559</v>
      </c>
      <c r="D23" s="31">
        <v>13.88</v>
      </c>
      <c r="E23" s="46"/>
    </row>
    <row r="24" spans="1:5" ht="12.75" customHeight="1" outlineLevel="2">
      <c r="A24" s="8" t="s">
        <v>2796</v>
      </c>
      <c r="B24" s="29" t="s">
        <v>1954</v>
      </c>
      <c r="C24" s="8" t="s">
        <v>1328</v>
      </c>
      <c r="D24" s="31">
        <v>378.8</v>
      </c>
      <c r="E24" s="46"/>
    </row>
    <row r="25" spans="1:5" ht="12.75" customHeight="1" outlineLevel="2">
      <c r="A25" s="8" t="s">
        <v>1044</v>
      </c>
      <c r="B25" s="29" t="s">
        <v>1955</v>
      </c>
      <c r="C25" s="7" t="s">
        <v>1047</v>
      </c>
      <c r="D25" s="31">
        <v>805</v>
      </c>
      <c r="E25" s="46"/>
    </row>
    <row r="26" spans="1:5" ht="12.75" customHeight="1" outlineLevel="2">
      <c r="A26" s="8" t="s">
        <v>2728</v>
      </c>
      <c r="B26" s="29" t="s">
        <v>1957</v>
      </c>
      <c r="C26" s="8" t="s">
        <v>1199</v>
      </c>
      <c r="D26" s="16">
        <v>1669.33</v>
      </c>
      <c r="E26" s="61"/>
    </row>
    <row r="27" spans="1:5" ht="12.75" customHeight="1" outlineLevel="2">
      <c r="A27" s="8" t="s">
        <v>405</v>
      </c>
      <c r="B27" s="29" t="s">
        <v>1957</v>
      </c>
      <c r="C27" s="8" t="s">
        <v>2666</v>
      </c>
      <c r="D27" s="16">
        <v>139</v>
      </c>
      <c r="E27" s="61"/>
    </row>
    <row r="28" spans="1:5" ht="12.75" customHeight="1" outlineLevel="2">
      <c r="A28" s="8" t="s">
        <v>1815</v>
      </c>
      <c r="B28" s="29" t="s">
        <v>1958</v>
      </c>
      <c r="C28" s="8" t="s">
        <v>1816</v>
      </c>
      <c r="D28" s="16">
        <v>128.72</v>
      </c>
      <c r="E28" s="61"/>
    </row>
    <row r="29" spans="1:5" ht="12.75" customHeight="1" outlineLevel="2">
      <c r="A29" s="55" t="s">
        <v>1862</v>
      </c>
      <c r="B29" s="29" t="s">
        <v>1958</v>
      </c>
      <c r="C29" s="55" t="s">
        <v>1864</v>
      </c>
      <c r="D29" s="16">
        <v>6.94</v>
      </c>
      <c r="E29" s="61"/>
    </row>
    <row r="30" spans="1:5" ht="12.75" customHeight="1" outlineLevel="2">
      <c r="A30" s="55" t="s">
        <v>1863</v>
      </c>
      <c r="B30" s="29" t="s">
        <v>1958</v>
      </c>
      <c r="C30" s="55" t="s">
        <v>1865</v>
      </c>
      <c r="D30" s="16">
        <v>13.88</v>
      </c>
      <c r="E30" s="61"/>
    </row>
    <row r="31" spans="1:5" ht="12.75" customHeight="1" outlineLevel="2">
      <c r="A31" s="55" t="s">
        <v>904</v>
      </c>
      <c r="B31" s="29" t="s">
        <v>1958</v>
      </c>
      <c r="C31" s="55" t="s">
        <v>905</v>
      </c>
      <c r="D31" s="16">
        <v>9542</v>
      </c>
      <c r="E31" s="61"/>
    </row>
    <row r="32" spans="1:5" ht="12.75" customHeight="1" outlineLevel="2">
      <c r="A32" s="8" t="s">
        <v>2142</v>
      </c>
      <c r="B32" s="29" t="s">
        <v>1959</v>
      </c>
      <c r="C32" s="8" t="s">
        <v>2143</v>
      </c>
      <c r="D32" s="16">
        <v>11493</v>
      </c>
      <c r="E32" s="61"/>
    </row>
    <row r="33" spans="1:5" ht="12.75" customHeight="1" outlineLevel="2">
      <c r="A33" s="8" t="s">
        <v>2044</v>
      </c>
      <c r="B33" s="29" t="s">
        <v>1960</v>
      </c>
      <c r="C33" s="8" t="s">
        <v>1186</v>
      </c>
      <c r="D33" s="16">
        <v>644</v>
      </c>
      <c r="E33" s="61"/>
    </row>
    <row r="34" spans="1:5" ht="12.75" customHeight="1" outlineLevel="2">
      <c r="A34" s="8" t="s">
        <v>2752</v>
      </c>
      <c r="B34" s="29" t="s">
        <v>1960</v>
      </c>
      <c r="C34" s="8" t="s">
        <v>2753</v>
      </c>
      <c r="D34" s="16">
        <v>14424.6</v>
      </c>
      <c r="E34" s="61"/>
    </row>
    <row r="35" spans="1:5" ht="12.75" customHeight="1" outlineLevel="2">
      <c r="A35" s="8" t="s">
        <v>10</v>
      </c>
      <c r="B35" s="29" t="s">
        <v>1960</v>
      </c>
      <c r="C35" s="8" t="s">
        <v>1199</v>
      </c>
      <c r="D35" s="16">
        <v>2737.8</v>
      </c>
      <c r="E35" s="61"/>
    </row>
    <row r="36" spans="1:5" ht="12.75" customHeight="1" outlineLevel="2">
      <c r="A36" s="8" t="s">
        <v>817</v>
      </c>
      <c r="B36" s="29" t="s">
        <v>1960</v>
      </c>
      <c r="C36" s="8" t="s">
        <v>1199</v>
      </c>
      <c r="D36" s="16">
        <v>2737.8</v>
      </c>
      <c r="E36" s="61"/>
    </row>
    <row r="37" spans="1:5" ht="12.75" customHeight="1" outlineLevel="2">
      <c r="A37" s="8" t="s">
        <v>839</v>
      </c>
      <c r="B37" s="29" t="s">
        <v>1960</v>
      </c>
      <c r="C37" s="8" t="s">
        <v>841</v>
      </c>
      <c r="D37" s="16">
        <v>29.77</v>
      </c>
      <c r="E37" s="61"/>
    </row>
    <row r="38" spans="1:5" ht="12.75" customHeight="1" outlineLevel="2">
      <c r="A38" s="8" t="s">
        <v>935</v>
      </c>
      <c r="B38" s="29" t="s">
        <v>1960</v>
      </c>
      <c r="C38" s="8" t="s">
        <v>914</v>
      </c>
      <c r="D38" s="16">
        <v>2272.8</v>
      </c>
      <c r="E38" s="61"/>
    </row>
    <row r="39" spans="1:5" ht="24" customHeight="1" outlineLevel="2">
      <c r="A39" s="8" t="s">
        <v>748</v>
      </c>
      <c r="B39" s="29" t="s">
        <v>1961</v>
      </c>
      <c r="C39" s="8" t="s">
        <v>749</v>
      </c>
      <c r="D39" s="16">
        <v>3531</v>
      </c>
      <c r="E39" s="61"/>
    </row>
    <row r="40" spans="1:5" ht="12.75" customHeight="1" outlineLevel="2">
      <c r="A40" s="8" t="s">
        <v>1400</v>
      </c>
      <c r="B40" s="29" t="s">
        <v>1961</v>
      </c>
      <c r="C40" s="8" t="s">
        <v>1401</v>
      </c>
      <c r="D40" s="16">
        <v>323</v>
      </c>
      <c r="E40" s="61"/>
    </row>
    <row r="41" spans="1:5" ht="12.75" customHeight="1" outlineLevel="2">
      <c r="A41" s="55" t="s">
        <v>1451</v>
      </c>
      <c r="B41" s="52" t="s">
        <v>1961</v>
      </c>
      <c r="C41" s="55" t="s">
        <v>1452</v>
      </c>
      <c r="D41" s="16">
        <v>5610</v>
      </c>
      <c r="E41" s="61"/>
    </row>
    <row r="42" spans="1:5" ht="12.75" customHeight="1" outlineLevel="2">
      <c r="A42" s="55" t="s">
        <v>1475</v>
      </c>
      <c r="B42" s="52" t="s">
        <v>1961</v>
      </c>
      <c r="C42" s="55" t="s">
        <v>1476</v>
      </c>
      <c r="D42" s="16">
        <v>6391</v>
      </c>
      <c r="E42" s="61"/>
    </row>
    <row r="43" spans="1:5" ht="12.75" customHeight="1" outlineLevel="2">
      <c r="A43" s="8" t="s">
        <v>1626</v>
      </c>
      <c r="B43" s="52" t="s">
        <v>1961</v>
      </c>
      <c r="C43" s="55" t="s">
        <v>1627</v>
      </c>
      <c r="D43" s="16">
        <v>13.88</v>
      </c>
      <c r="E43" s="61"/>
    </row>
    <row r="44" spans="1:5" ht="12.75" customHeight="1" outlineLevel="2">
      <c r="A44" s="8" t="s">
        <v>1640</v>
      </c>
      <c r="B44" s="52" t="s">
        <v>1961</v>
      </c>
      <c r="C44" s="55" t="s">
        <v>1627</v>
      </c>
      <c r="D44" s="16">
        <v>20.82</v>
      </c>
      <c r="E44" s="61"/>
    </row>
    <row r="45" spans="1:5" ht="12.75" customHeight="1" outlineLevel="2">
      <c r="A45" s="8" t="s">
        <v>1644</v>
      </c>
      <c r="B45" s="52" t="s">
        <v>1961</v>
      </c>
      <c r="C45" s="55" t="s">
        <v>1627</v>
      </c>
      <c r="D45" s="16">
        <v>13.88</v>
      </c>
      <c r="E45" s="61"/>
    </row>
    <row r="46" spans="1:5" ht="12.75" customHeight="1" outlineLevel="2">
      <c r="A46" s="8" t="s">
        <v>1653</v>
      </c>
      <c r="B46" s="29" t="s">
        <v>1961</v>
      </c>
      <c r="C46" s="55" t="s">
        <v>2727</v>
      </c>
      <c r="D46" s="7">
        <v>3132.27</v>
      </c>
      <c r="E46" s="61"/>
    </row>
    <row r="47" spans="1:5" ht="12.75" customHeight="1" outlineLevel="2">
      <c r="A47" s="8" t="s">
        <v>1565</v>
      </c>
      <c r="B47" s="29" t="s">
        <v>1961</v>
      </c>
      <c r="C47" s="8" t="s">
        <v>1566</v>
      </c>
      <c r="D47" s="16">
        <v>367.46</v>
      </c>
      <c r="E47" s="61"/>
    </row>
    <row r="48" spans="1:5" ht="13.5" customHeight="1" outlineLevel="1">
      <c r="A48" s="117" t="s">
        <v>1342</v>
      </c>
      <c r="B48" s="118"/>
      <c r="C48" s="119"/>
      <c r="D48" s="28">
        <f>SUM(D49:D51)</f>
        <v>30427.34</v>
      </c>
      <c r="E48" s="46"/>
    </row>
    <row r="49" spans="1:5" ht="12.75" customHeight="1" outlineLevel="2">
      <c r="A49" s="7" t="s">
        <v>852</v>
      </c>
      <c r="B49" s="52" t="s">
        <v>849</v>
      </c>
      <c r="C49" s="7" t="s">
        <v>853</v>
      </c>
      <c r="D49" s="30">
        <v>1603</v>
      </c>
      <c r="E49" s="46"/>
    </row>
    <row r="50" spans="1:5" ht="12.75" customHeight="1" outlineLevel="2">
      <c r="A50" s="7" t="s">
        <v>1231</v>
      </c>
      <c r="B50" s="29" t="s">
        <v>1957</v>
      </c>
      <c r="C50" s="7" t="s">
        <v>1225</v>
      </c>
      <c r="D50" s="30">
        <v>1869</v>
      </c>
      <c r="E50" s="46"/>
    </row>
    <row r="51" spans="1:5" ht="12.75" customHeight="1" outlineLevel="2">
      <c r="A51" s="7" t="s">
        <v>1155</v>
      </c>
      <c r="B51" s="29" t="s">
        <v>1156</v>
      </c>
      <c r="C51" s="7" t="s">
        <v>1157</v>
      </c>
      <c r="D51" s="30">
        <v>26955.34</v>
      </c>
      <c r="E51" s="46"/>
    </row>
    <row r="52" spans="1:5" ht="12.75" customHeight="1" outlineLevel="1">
      <c r="A52" s="117" t="s">
        <v>1346</v>
      </c>
      <c r="B52" s="118"/>
      <c r="C52" s="119"/>
      <c r="D52" s="28">
        <f>SUM(D53:D63)</f>
        <v>10119.52</v>
      </c>
      <c r="E52" s="46"/>
    </row>
    <row r="53" spans="1:5" s="53" customFormat="1" ht="12.75" customHeight="1" outlineLevel="2">
      <c r="A53" s="7" t="s">
        <v>2193</v>
      </c>
      <c r="B53" s="29" t="s">
        <v>849</v>
      </c>
      <c r="C53" s="7" t="s">
        <v>2194</v>
      </c>
      <c r="D53" s="30">
        <v>543.4</v>
      </c>
      <c r="E53" s="46"/>
    </row>
    <row r="54" spans="1:5" s="53" customFormat="1" ht="12.75" customHeight="1" outlineLevel="2">
      <c r="A54" s="51" t="s">
        <v>2196</v>
      </c>
      <c r="B54" s="52" t="s">
        <v>849</v>
      </c>
      <c r="C54" s="51" t="s">
        <v>2197</v>
      </c>
      <c r="D54" s="30">
        <v>2465.22</v>
      </c>
      <c r="E54" s="46"/>
    </row>
    <row r="55" spans="1:5" s="53" customFormat="1" ht="12.75" customHeight="1" outlineLevel="2">
      <c r="A55" s="7" t="s">
        <v>2391</v>
      </c>
      <c r="B55" s="29" t="s">
        <v>1952</v>
      </c>
      <c r="C55" s="7" t="s">
        <v>2388</v>
      </c>
      <c r="D55" s="30">
        <v>400</v>
      </c>
      <c r="E55" s="46"/>
    </row>
    <row r="56" spans="1:5" s="53" customFormat="1" ht="12.75" customHeight="1" outlineLevel="2">
      <c r="A56" s="7" t="s">
        <v>2391</v>
      </c>
      <c r="B56" s="29" t="s">
        <v>1952</v>
      </c>
      <c r="C56" s="7" t="s">
        <v>2389</v>
      </c>
      <c r="D56" s="30">
        <v>39</v>
      </c>
      <c r="E56" s="46"/>
    </row>
    <row r="57" spans="1:5" s="53" customFormat="1" ht="12.75" customHeight="1" outlineLevel="2">
      <c r="A57" s="7" t="s">
        <v>2391</v>
      </c>
      <c r="B57" s="29" t="s">
        <v>1952</v>
      </c>
      <c r="C57" s="7" t="s">
        <v>2390</v>
      </c>
      <c r="D57" s="30">
        <v>233.33</v>
      </c>
      <c r="E57" s="46"/>
    </row>
    <row r="58" spans="1:5" s="53" customFormat="1" ht="12.75" customHeight="1" outlineLevel="2">
      <c r="A58" s="7" t="s">
        <v>2395</v>
      </c>
      <c r="B58" s="29" t="s">
        <v>1952</v>
      </c>
      <c r="C58" s="7" t="s">
        <v>2393</v>
      </c>
      <c r="D58" s="30">
        <v>200</v>
      </c>
      <c r="E58" s="46"/>
    </row>
    <row r="59" spans="1:5" s="53" customFormat="1" ht="12.75" customHeight="1" outlineLevel="2">
      <c r="A59" s="7" t="s">
        <v>2395</v>
      </c>
      <c r="B59" s="29" t="s">
        <v>1952</v>
      </c>
      <c r="C59" s="7" t="s">
        <v>2394</v>
      </c>
      <c r="D59" s="30">
        <v>19.5</v>
      </c>
      <c r="E59" s="46"/>
    </row>
    <row r="60" spans="1:5" s="53" customFormat="1" ht="12.75" customHeight="1" outlineLevel="2">
      <c r="A60" s="7" t="s">
        <v>2395</v>
      </c>
      <c r="B60" s="29" t="s">
        <v>1952</v>
      </c>
      <c r="C60" s="7" t="s">
        <v>2390</v>
      </c>
      <c r="D60" s="30">
        <v>350</v>
      </c>
      <c r="E60" s="46"/>
    </row>
    <row r="61" spans="1:5" s="53" customFormat="1" ht="12.75" customHeight="1" outlineLevel="2">
      <c r="A61" s="7" t="s">
        <v>460</v>
      </c>
      <c r="B61" s="29" t="s">
        <v>1958</v>
      </c>
      <c r="C61" s="7" t="s">
        <v>709</v>
      </c>
      <c r="D61" s="74">
        <v>5321.12</v>
      </c>
      <c r="E61" s="46"/>
    </row>
    <row r="62" spans="1:5" s="53" customFormat="1" ht="12.75" customHeight="1" outlineLevel="2">
      <c r="A62" s="7" t="s">
        <v>1810</v>
      </c>
      <c r="B62" s="29" t="s">
        <v>1958</v>
      </c>
      <c r="C62" s="7" t="s">
        <v>1804</v>
      </c>
      <c r="D62" s="30">
        <v>350.52</v>
      </c>
      <c r="E62" s="46"/>
    </row>
    <row r="63" spans="1:5" s="53" customFormat="1" ht="12.75" customHeight="1" outlineLevel="2">
      <c r="A63" s="7" t="s">
        <v>1416</v>
      </c>
      <c r="B63" s="29" t="s">
        <v>1961</v>
      </c>
      <c r="C63" s="7" t="s">
        <v>1417</v>
      </c>
      <c r="D63" s="74">
        <v>197.43</v>
      </c>
      <c r="E63" s="46"/>
    </row>
    <row r="64" spans="1:5" ht="12.75" customHeight="1" outlineLevel="1">
      <c r="A64" s="117" t="s">
        <v>1344</v>
      </c>
      <c r="B64" s="118"/>
      <c r="C64" s="119"/>
      <c r="D64" s="28">
        <f>D65+D66+D67+D68+D69+D71+D70+D72+D73+D74+D75+D76</f>
        <v>143046.99000000002</v>
      </c>
      <c r="E64" s="46"/>
    </row>
    <row r="65" spans="1:5" ht="12.75" outlineLevel="2">
      <c r="A65" s="7"/>
      <c r="B65" s="29" t="s">
        <v>849</v>
      </c>
      <c r="C65" s="7" t="s">
        <v>1950</v>
      </c>
      <c r="D65" s="30">
        <f>2969.14+2593.3+1201.94+2843.61+1231.25+762.2</f>
        <v>11601.440000000002</v>
      </c>
      <c r="E65" s="46"/>
    </row>
    <row r="66" spans="1:5" ht="12.75" outlineLevel="2">
      <c r="A66" s="7"/>
      <c r="B66" s="29" t="s">
        <v>1951</v>
      </c>
      <c r="C66" s="7" t="s">
        <v>1950</v>
      </c>
      <c r="D66" s="30">
        <f>2969.14+2593.3+1540.94+3645.65+1578.53+977.18</f>
        <v>13304.740000000002</v>
      </c>
      <c r="E66" s="46"/>
    </row>
    <row r="67" spans="1:5" ht="12.75" outlineLevel="2">
      <c r="A67" s="7"/>
      <c r="B67" s="29" t="s">
        <v>1952</v>
      </c>
      <c r="C67" s="7" t="s">
        <v>1950</v>
      </c>
      <c r="D67" s="30">
        <f>2969.14+2593.3+1540.94+3645.65+1578.53+977.18+225.5</f>
        <v>13530.240000000002</v>
      </c>
      <c r="E67" s="46"/>
    </row>
    <row r="68" spans="1:5" ht="12.75" outlineLevel="2">
      <c r="A68" s="7"/>
      <c r="B68" s="29" t="s">
        <v>1953</v>
      </c>
      <c r="C68" s="7" t="s">
        <v>1950</v>
      </c>
      <c r="D68" s="30">
        <f>2969.14+2292.62+3060.09+886.98+576.54+193.93</f>
        <v>9979.3</v>
      </c>
      <c r="E68" s="46"/>
    </row>
    <row r="69" spans="1:5" ht="12.75" outlineLevel="2">
      <c r="A69" s="7"/>
      <c r="B69" s="29" t="s">
        <v>1954</v>
      </c>
      <c r="C69" s="7" t="s">
        <v>1950</v>
      </c>
      <c r="D69" s="30">
        <f>2969.14+1991.95+2913.51+792.65+535.57+202.95</f>
        <v>9405.77</v>
      </c>
      <c r="E69" s="46"/>
    </row>
    <row r="70" spans="1:5" ht="12.75" outlineLevel="2">
      <c r="A70" s="7"/>
      <c r="B70" s="29" t="s">
        <v>1955</v>
      </c>
      <c r="C70" s="7" t="s">
        <v>1950</v>
      </c>
      <c r="D70" s="30">
        <f>371.14+995.98+1555.98+417.18+281.88</f>
        <v>3622.16</v>
      </c>
      <c r="E70" s="46"/>
    </row>
    <row r="71" spans="1:5" ht="12.75" outlineLevel="2">
      <c r="A71" s="7"/>
      <c r="B71" s="29" t="s">
        <v>1956</v>
      </c>
      <c r="C71" s="7" t="s">
        <v>1950</v>
      </c>
      <c r="D71" s="30">
        <f>3307.39+2217.46+5787.94+1281.61+1052.35</f>
        <v>13646.750000000002</v>
      </c>
      <c r="E71" s="46"/>
    </row>
    <row r="72" spans="1:5" ht="12.75" outlineLevel="2">
      <c r="A72" s="7"/>
      <c r="B72" s="29" t="s">
        <v>1957</v>
      </c>
      <c r="C72" s="7" t="s">
        <v>1950</v>
      </c>
      <c r="D72" s="30">
        <f>3307.39+2217.46+5787.94+1281.61+1052.35</f>
        <v>13646.750000000002</v>
      </c>
      <c r="E72" s="46"/>
    </row>
    <row r="73" spans="1:5" ht="12.75" outlineLevel="2">
      <c r="A73" s="7"/>
      <c r="B73" s="29" t="s">
        <v>1958</v>
      </c>
      <c r="C73" s="7" t="s">
        <v>1950</v>
      </c>
      <c r="D73" s="30">
        <f>3307.39+2217.46+5787.94+1281.61+1052.35</f>
        <v>13646.750000000002</v>
      </c>
      <c r="E73" s="46"/>
    </row>
    <row r="74" spans="1:5" ht="12.75" outlineLevel="2">
      <c r="A74" s="7"/>
      <c r="B74" s="29" t="s">
        <v>1959</v>
      </c>
      <c r="C74" s="7" t="s">
        <v>1950</v>
      </c>
      <c r="D74" s="30">
        <f>3307.39+217.46+5787.94+1281.61+452.51</f>
        <v>11046.91</v>
      </c>
      <c r="E74" s="46"/>
    </row>
    <row r="75" spans="1:5" ht="12.75" outlineLevel="2">
      <c r="A75" s="7"/>
      <c r="B75" s="29" t="s">
        <v>1960</v>
      </c>
      <c r="C75" s="7" t="s">
        <v>1950</v>
      </c>
      <c r="D75" s="30">
        <f>3307.39+2893.97+1728.86+4059.07+1766.45+1052.35</f>
        <v>14808.09</v>
      </c>
      <c r="E75" s="46"/>
    </row>
    <row r="76" spans="1:5" ht="12.75" customHeight="1" outlineLevel="2">
      <c r="A76" s="7"/>
      <c r="B76" s="29" t="s">
        <v>1961</v>
      </c>
      <c r="C76" s="7" t="s">
        <v>1950</v>
      </c>
      <c r="D76" s="30">
        <f>3307.39+2893.97+1728.86+4059.07+1766.45+1052.35</f>
        <v>14808.09</v>
      </c>
      <c r="E76" s="46"/>
    </row>
    <row r="77" spans="1:5" ht="13.5" customHeight="1" outlineLevel="1">
      <c r="A77" s="117" t="s">
        <v>1341</v>
      </c>
      <c r="B77" s="118"/>
      <c r="C77" s="119"/>
      <c r="D77" s="28">
        <f>SUM(D78:D83)</f>
        <v>8728.41</v>
      </c>
      <c r="E77" s="1"/>
    </row>
    <row r="78" spans="1:5" ht="13.5" customHeight="1" outlineLevel="2">
      <c r="A78" s="7" t="s">
        <v>860</v>
      </c>
      <c r="B78" s="29" t="s">
        <v>849</v>
      </c>
      <c r="C78" s="7" t="s">
        <v>861</v>
      </c>
      <c r="D78" s="16">
        <v>1158</v>
      </c>
      <c r="E78" s="1"/>
    </row>
    <row r="79" spans="1:5" ht="15" customHeight="1" outlineLevel="2">
      <c r="A79" s="7" t="s">
        <v>1978</v>
      </c>
      <c r="B79" s="29" t="s">
        <v>849</v>
      </c>
      <c r="C79" s="7" t="s">
        <v>1979</v>
      </c>
      <c r="D79" s="16">
        <v>3840</v>
      </c>
      <c r="E79" s="1"/>
    </row>
    <row r="80" spans="1:5" ht="15.75" customHeight="1" outlineLevel="2">
      <c r="A80" s="51" t="s">
        <v>673</v>
      </c>
      <c r="B80" s="52" t="s">
        <v>1951</v>
      </c>
      <c r="C80" s="51" t="s">
        <v>674</v>
      </c>
      <c r="D80" s="16">
        <v>610</v>
      </c>
      <c r="E80" s="1"/>
    </row>
    <row r="81" spans="1:5" ht="15" customHeight="1" outlineLevel="2">
      <c r="A81" s="7" t="s">
        <v>2431</v>
      </c>
      <c r="B81" s="29" t="s">
        <v>1959</v>
      </c>
      <c r="C81" s="7" t="s">
        <v>2435</v>
      </c>
      <c r="D81" s="16">
        <v>2017.88</v>
      </c>
      <c r="E81" s="1"/>
    </row>
    <row r="82" spans="1:5" ht="13.5" customHeight="1" outlineLevel="2">
      <c r="A82" s="7" t="s">
        <v>91</v>
      </c>
      <c r="B82" s="29" t="s">
        <v>1960</v>
      </c>
      <c r="C82" s="7" t="s">
        <v>94</v>
      </c>
      <c r="D82" s="16">
        <v>767.28</v>
      </c>
      <c r="E82" s="1"/>
    </row>
    <row r="83" spans="1:5" ht="13.5" customHeight="1" outlineLevel="2">
      <c r="A83" s="7" t="s">
        <v>1420</v>
      </c>
      <c r="B83" s="29" t="s">
        <v>1961</v>
      </c>
      <c r="C83" s="7" t="s">
        <v>1387</v>
      </c>
      <c r="D83" s="16">
        <v>335.25</v>
      </c>
      <c r="E83" s="1"/>
    </row>
    <row r="84" spans="1:5" ht="12.75" outlineLevel="1">
      <c r="A84" s="117" t="s">
        <v>1348</v>
      </c>
      <c r="B84" s="118"/>
      <c r="C84" s="119"/>
      <c r="D84" s="58">
        <f>SUM(D85:D85)</f>
        <v>6084</v>
      </c>
      <c r="E84" s="61"/>
    </row>
    <row r="85" spans="1:5" ht="25.5" outlineLevel="2">
      <c r="A85" s="51" t="s">
        <v>1595</v>
      </c>
      <c r="B85" s="52" t="s">
        <v>849</v>
      </c>
      <c r="C85" s="51" t="s">
        <v>1596</v>
      </c>
      <c r="D85" s="30">
        <v>6084</v>
      </c>
      <c r="E85" s="46"/>
    </row>
    <row r="86" spans="1:5" ht="12.75">
      <c r="A86" s="129" t="s">
        <v>1349</v>
      </c>
      <c r="B86" s="130"/>
      <c r="C86" s="131"/>
      <c r="D86" s="32">
        <f>SUM(D87:D87)</f>
        <v>122568</v>
      </c>
      <c r="E86" s="46"/>
    </row>
    <row r="87" spans="1:5" ht="12.75" outlineLevel="1">
      <c r="A87" s="125" t="s">
        <v>43</v>
      </c>
      <c r="B87" s="127"/>
      <c r="C87" s="13" t="s">
        <v>44</v>
      </c>
      <c r="D87" s="36">
        <v>122568</v>
      </c>
      <c r="E87" s="46"/>
    </row>
    <row r="88" spans="1:5" ht="12.75" customHeight="1">
      <c r="A88" s="6">
        <v>3758.3</v>
      </c>
      <c r="B88" s="6" t="s">
        <v>1356</v>
      </c>
      <c r="C88" s="37" t="s">
        <v>1345</v>
      </c>
      <c r="D88" s="23">
        <f>(3758.3*6*1.46)+(3758.3*6*1.63)</f>
        <v>69678.88200000001</v>
      </c>
      <c r="E88" s="45"/>
    </row>
    <row r="89" spans="1:5" ht="12.75">
      <c r="A89" s="6">
        <v>3758.3</v>
      </c>
      <c r="B89" s="6" t="s">
        <v>1356</v>
      </c>
      <c r="C89" s="37" t="s">
        <v>1357</v>
      </c>
      <c r="D89" s="23">
        <f>(3758.3*6*0.1)+(3758.3*6*0.11)</f>
        <v>4735.4580000000005</v>
      </c>
      <c r="E89" s="46"/>
    </row>
    <row r="90" spans="1:5" ht="12.75">
      <c r="A90" s="125" t="s">
        <v>1350</v>
      </c>
      <c r="B90" s="126"/>
      <c r="C90" s="127"/>
      <c r="D90" s="67">
        <f>(3758.3*6*1.57)+(3758.3*6*1.75)</f>
        <v>74865.33600000001</v>
      </c>
      <c r="E90" s="46"/>
    </row>
    <row r="91" spans="1:5" ht="12.75">
      <c r="A91" s="125" t="s">
        <v>1362</v>
      </c>
      <c r="B91" s="126"/>
      <c r="C91" s="127"/>
      <c r="D91" s="16">
        <f>10.3*(D93+D94)/100</f>
        <v>100106.61155000002</v>
      </c>
      <c r="E91" s="46"/>
    </row>
    <row r="92" spans="1:5" ht="12.75">
      <c r="A92" s="120" t="s">
        <v>1363</v>
      </c>
      <c r="B92" s="121"/>
      <c r="C92" s="122"/>
      <c r="D92" s="41">
        <f>D91+D90+D3</f>
        <v>534101.80755</v>
      </c>
      <c r="E92" s="46"/>
    </row>
    <row r="93" spans="1:5" ht="12.75">
      <c r="A93" s="114" t="s">
        <v>1364</v>
      </c>
      <c r="B93" s="115"/>
      <c r="C93" s="116"/>
      <c r="D93" s="18">
        <v>847883.36</v>
      </c>
      <c r="E93" s="46"/>
    </row>
    <row r="94" spans="1:5" ht="12.75">
      <c r="A94" s="114" t="s">
        <v>1365</v>
      </c>
      <c r="B94" s="115"/>
      <c r="C94" s="116"/>
      <c r="D94" s="18">
        <v>124025.49</v>
      </c>
      <c r="E94" s="46"/>
    </row>
    <row r="95" spans="1:5" ht="12.75">
      <c r="A95" s="114" t="s">
        <v>2221</v>
      </c>
      <c r="B95" s="115"/>
      <c r="C95" s="116"/>
      <c r="D95" s="19">
        <f>921806.5+D93</f>
        <v>1769689.8599999999</v>
      </c>
      <c r="E95" s="46"/>
    </row>
    <row r="96" spans="1:5" ht="12.75">
      <c r="A96" s="114" t="s">
        <v>2222</v>
      </c>
      <c r="B96" s="115"/>
      <c r="C96" s="116"/>
      <c r="D96" s="19">
        <f>599248.21+D101</f>
        <v>1297544.8900000001</v>
      </c>
      <c r="E96" s="46"/>
    </row>
    <row r="97" spans="1:6" ht="25.5" customHeight="1">
      <c r="A97" s="120" t="s">
        <v>2223</v>
      </c>
      <c r="B97" s="121"/>
      <c r="C97" s="122"/>
      <c r="D97" s="42">
        <f>1063857.98+D92</f>
        <v>1597959.78755</v>
      </c>
      <c r="E97" s="46"/>
      <c r="F97" s="37" t="s">
        <v>1352</v>
      </c>
    </row>
    <row r="98" spans="1:6" ht="12.75">
      <c r="A98" s="114" t="s">
        <v>2224</v>
      </c>
      <c r="B98" s="115"/>
      <c r="C98" s="116"/>
      <c r="D98" s="19">
        <f>134779.5+D94</f>
        <v>258804.99</v>
      </c>
      <c r="E98" s="46"/>
      <c r="F98" s="37" t="s">
        <v>1351</v>
      </c>
    </row>
    <row r="99" spans="1:6" ht="12.75">
      <c r="A99" s="114" t="s">
        <v>2225</v>
      </c>
      <c r="B99" s="115"/>
      <c r="C99" s="116"/>
      <c r="D99" s="19">
        <f>92005.16+D102</f>
        <v>194149.62</v>
      </c>
      <c r="E99" s="46"/>
      <c r="F99" s="14" t="s">
        <v>785</v>
      </c>
    </row>
    <row r="100" spans="1:6" ht="12.75">
      <c r="A100" s="120" t="s">
        <v>2226</v>
      </c>
      <c r="B100" s="121"/>
      <c r="C100" s="122"/>
      <c r="D100" s="42">
        <f>0+D103</f>
        <v>122568</v>
      </c>
      <c r="E100" s="46"/>
      <c r="F100" s="14" t="s">
        <v>786</v>
      </c>
    </row>
    <row r="101" spans="1:6" ht="13.5" customHeight="1">
      <c r="A101" s="114" t="s">
        <v>779</v>
      </c>
      <c r="B101" s="115"/>
      <c r="C101" s="116"/>
      <c r="D101" s="18">
        <v>698296.68</v>
      </c>
      <c r="E101" s="47"/>
      <c r="F101" s="14" t="s">
        <v>1353</v>
      </c>
    </row>
    <row r="102" spans="1:6" ht="12.75" customHeight="1">
      <c r="A102" s="114" t="s">
        <v>780</v>
      </c>
      <c r="B102" s="115"/>
      <c r="C102" s="116"/>
      <c r="D102" s="18">
        <v>102144.46</v>
      </c>
      <c r="E102" s="48"/>
      <c r="F102" s="14" t="s">
        <v>787</v>
      </c>
    </row>
    <row r="103" spans="1:6" ht="12.75" customHeight="1">
      <c r="A103" s="120" t="s">
        <v>781</v>
      </c>
      <c r="B103" s="121"/>
      <c r="C103" s="122"/>
      <c r="D103" s="41">
        <f>D86</f>
        <v>122568</v>
      </c>
      <c r="E103" s="48"/>
      <c r="F103" s="14" t="s">
        <v>788</v>
      </c>
    </row>
    <row r="104" spans="1:6" ht="25.5" customHeight="1">
      <c r="A104" s="108" t="s">
        <v>782</v>
      </c>
      <c r="B104" s="109"/>
      <c r="C104" s="110"/>
      <c r="D104" s="26">
        <f>D95-D97</f>
        <v>171730.07244999986</v>
      </c>
      <c r="E104" s="48"/>
      <c r="F104" s="14" t="s">
        <v>789</v>
      </c>
    </row>
    <row r="105" spans="1:6" ht="25.5" customHeight="1">
      <c r="A105" s="108" t="s">
        <v>783</v>
      </c>
      <c r="B105" s="109"/>
      <c r="C105" s="110"/>
      <c r="D105" s="26">
        <f>D98-D100</f>
        <v>136236.99</v>
      </c>
      <c r="E105" s="48">
        <v>1</v>
      </c>
      <c r="F105" s="14" t="s">
        <v>790</v>
      </c>
    </row>
    <row r="106" spans="1:6" ht="28.5" customHeight="1">
      <c r="A106" s="108" t="s">
        <v>1624</v>
      </c>
      <c r="B106" s="109"/>
      <c r="C106" s="110"/>
      <c r="D106" s="26">
        <f>D96-D97</f>
        <v>-300414.8975499999</v>
      </c>
      <c r="E106" s="48">
        <v>2</v>
      </c>
      <c r="F106" s="27"/>
    </row>
    <row r="107" spans="5:6" ht="12.75" customHeight="1">
      <c r="E107" s="48">
        <v>3</v>
      </c>
      <c r="F107" s="37" t="s">
        <v>1352</v>
      </c>
    </row>
    <row r="108" spans="5:6" ht="12.75" customHeight="1">
      <c r="E108" s="48">
        <v>4</v>
      </c>
      <c r="F108" s="37" t="s">
        <v>791</v>
      </c>
    </row>
    <row r="109" spans="5:6" ht="13.5" customHeight="1">
      <c r="E109" s="48">
        <v>5</v>
      </c>
      <c r="F109" s="14" t="s">
        <v>843</v>
      </c>
    </row>
    <row r="110" spans="5:6" ht="25.5" customHeight="1">
      <c r="E110" s="48">
        <v>6</v>
      </c>
      <c r="F110" s="14" t="s">
        <v>844</v>
      </c>
    </row>
    <row r="111" spans="5:6" ht="12.75" customHeight="1">
      <c r="E111" s="48">
        <v>7</v>
      </c>
      <c r="F111" s="14" t="s">
        <v>845</v>
      </c>
    </row>
    <row r="112" spans="5:6" ht="12.75" customHeight="1">
      <c r="E112" s="48">
        <v>8</v>
      </c>
      <c r="F112" s="14" t="s">
        <v>787</v>
      </c>
    </row>
    <row r="113" spans="5:6" ht="12.75" customHeight="1">
      <c r="E113" s="48">
        <v>9</v>
      </c>
      <c r="F113" s="14" t="s">
        <v>846</v>
      </c>
    </row>
    <row r="114" spans="5:6" ht="12.75" customHeight="1">
      <c r="E114" s="48">
        <v>10</v>
      </c>
      <c r="F114" s="14" t="s">
        <v>847</v>
      </c>
    </row>
    <row r="115" spans="5:6" ht="12.75" customHeight="1">
      <c r="E115" s="48">
        <v>11</v>
      </c>
      <c r="F115" s="14" t="s">
        <v>848</v>
      </c>
    </row>
    <row r="116" spans="5:6" ht="12.75" customHeight="1">
      <c r="E116" s="48">
        <v>12</v>
      </c>
      <c r="F116" s="43"/>
    </row>
    <row r="117" spans="5:6" ht="27" customHeight="1">
      <c r="E117" s="48">
        <v>13</v>
      </c>
      <c r="F117" s="43"/>
    </row>
    <row r="118" spans="5:6" ht="25.5" customHeight="1">
      <c r="E118" s="48">
        <v>14</v>
      </c>
      <c r="F118" s="43"/>
    </row>
    <row r="119" spans="5:6" ht="25.5" customHeight="1">
      <c r="E119" s="48">
        <v>15</v>
      </c>
      <c r="F119" s="43"/>
    </row>
    <row r="120" ht="12.75">
      <c r="F120" s="43"/>
    </row>
  </sheetData>
  <sheetProtection/>
  <mergeCells count="27">
    <mergeCell ref="A48:C48"/>
    <mergeCell ref="A3:C3"/>
    <mergeCell ref="A4:C4"/>
    <mergeCell ref="A97:C97"/>
    <mergeCell ref="A52:C52"/>
    <mergeCell ref="A77:C77"/>
    <mergeCell ref="A64:C64"/>
    <mergeCell ref="A98:C98"/>
    <mergeCell ref="A84:C84"/>
    <mergeCell ref="A86:C86"/>
    <mergeCell ref="A90:C90"/>
    <mergeCell ref="A91:C91"/>
    <mergeCell ref="A92:C92"/>
    <mergeCell ref="A93:C93"/>
    <mergeCell ref="A94:C94"/>
    <mergeCell ref="A96:C96"/>
    <mergeCell ref="A87:B87"/>
    <mergeCell ref="A1:D1"/>
    <mergeCell ref="A105:C105"/>
    <mergeCell ref="A106:C106"/>
    <mergeCell ref="A99:C99"/>
    <mergeCell ref="A100:C100"/>
    <mergeCell ref="A101:C101"/>
    <mergeCell ref="A102:C102"/>
    <mergeCell ref="A103:C103"/>
    <mergeCell ref="A104:C104"/>
    <mergeCell ref="A95:C95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8" sqref="A1:D108"/>
    </sheetView>
  </sheetViews>
  <sheetFormatPr defaultColWidth="13.421875" defaultRowHeight="12.75" outlineLevelRow="2"/>
  <cols>
    <col min="1" max="1" width="11.8515625" style="1" customWidth="1"/>
    <col min="2" max="2" width="9.574218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2.25" customHeight="1" thickBot="1">
      <c r="A1" s="135" t="s">
        <v>1597</v>
      </c>
      <c r="B1" s="136"/>
      <c r="C1" s="136"/>
      <c r="D1" s="136"/>
    </row>
    <row r="2" spans="1:5" ht="23.25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D4+D49+D51+D54+D67+D84+D89+D90</f>
        <v>512008.38999999996</v>
      </c>
      <c r="E3" s="45"/>
    </row>
    <row r="4" spans="1:5" ht="13.5" outlineLevel="1" thickTop="1">
      <c r="A4" s="111" t="s">
        <v>1354</v>
      </c>
      <c r="B4" s="112"/>
      <c r="C4" s="113"/>
      <c r="D4" s="28">
        <f>SUM(D5:D48)</f>
        <v>129660.25000000001</v>
      </c>
      <c r="E4" s="46"/>
    </row>
    <row r="5" spans="1:5" ht="12.75" outlineLevel="2">
      <c r="A5" s="7" t="s">
        <v>1097</v>
      </c>
      <c r="B5" s="29" t="s">
        <v>849</v>
      </c>
      <c r="C5" s="51" t="s">
        <v>2242</v>
      </c>
      <c r="D5" s="30">
        <v>407</v>
      </c>
      <c r="E5" s="46"/>
    </row>
    <row r="6" spans="1:5" ht="12.75" outlineLevel="2">
      <c r="A6" s="7" t="s">
        <v>1108</v>
      </c>
      <c r="B6" s="29" t="s">
        <v>849</v>
      </c>
      <c r="C6" s="7" t="s">
        <v>1109</v>
      </c>
      <c r="D6" s="30">
        <v>91</v>
      </c>
      <c r="E6" s="46"/>
    </row>
    <row r="7" spans="1:5" ht="12.75" outlineLevel="2">
      <c r="A7" s="7" t="s">
        <v>1108</v>
      </c>
      <c r="B7" s="29" t="s">
        <v>849</v>
      </c>
      <c r="C7" s="7" t="s">
        <v>1110</v>
      </c>
      <c r="D7" s="30">
        <v>369</v>
      </c>
      <c r="E7" s="46"/>
    </row>
    <row r="8" spans="1:5" ht="12.75" outlineLevel="2">
      <c r="A8" s="7" t="s">
        <v>1185</v>
      </c>
      <c r="B8" s="29" t="s">
        <v>849</v>
      </c>
      <c r="C8" s="7" t="s">
        <v>1189</v>
      </c>
      <c r="D8" s="30">
        <v>4777</v>
      </c>
      <c r="E8" s="46"/>
    </row>
    <row r="9" spans="1:5" ht="12.75" outlineLevel="2">
      <c r="A9" s="7" t="s">
        <v>2176</v>
      </c>
      <c r="B9" s="29" t="s">
        <v>849</v>
      </c>
      <c r="C9" s="7" t="s">
        <v>2174</v>
      </c>
      <c r="D9" s="30">
        <v>94.7</v>
      </c>
      <c r="E9" s="46"/>
    </row>
    <row r="10" spans="1:5" ht="12.75" outlineLevel="2">
      <c r="A10" s="51" t="s">
        <v>2207</v>
      </c>
      <c r="B10" s="52" t="s">
        <v>849</v>
      </c>
      <c r="C10" s="51" t="s">
        <v>2200</v>
      </c>
      <c r="D10" s="30">
        <v>94.7</v>
      </c>
      <c r="E10" s="46"/>
    </row>
    <row r="11" spans="1:5" ht="12.75" outlineLevel="2">
      <c r="A11" s="7" t="s">
        <v>41</v>
      </c>
      <c r="B11" s="29" t="s">
        <v>1951</v>
      </c>
      <c r="C11" s="7" t="s">
        <v>100</v>
      </c>
      <c r="D11" s="30">
        <v>3602</v>
      </c>
      <c r="E11" s="46"/>
    </row>
    <row r="12" spans="1:5" ht="12.75" outlineLevel="2">
      <c r="A12" s="7" t="s">
        <v>366</v>
      </c>
      <c r="B12" s="29" t="s">
        <v>1951</v>
      </c>
      <c r="C12" s="7" t="s">
        <v>367</v>
      </c>
      <c r="D12" s="30">
        <v>294</v>
      </c>
      <c r="E12" s="46"/>
    </row>
    <row r="13" spans="1:5" ht="12.75" outlineLevel="2">
      <c r="A13" s="7" t="s">
        <v>474</v>
      </c>
      <c r="B13" s="29" t="s">
        <v>1951</v>
      </c>
      <c r="C13" s="7" t="s">
        <v>475</v>
      </c>
      <c r="D13" s="30">
        <v>2161</v>
      </c>
      <c r="E13" s="46"/>
    </row>
    <row r="14" spans="1:5" ht="12.75" outlineLevel="2">
      <c r="A14" s="7" t="s">
        <v>2376</v>
      </c>
      <c r="B14" s="29" t="s">
        <v>1952</v>
      </c>
      <c r="C14" s="7" t="s">
        <v>2375</v>
      </c>
      <c r="D14" s="30">
        <v>94.7</v>
      </c>
      <c r="E14" s="46"/>
    </row>
    <row r="15" spans="1:5" ht="12.75" outlineLevel="2">
      <c r="A15" s="7" t="s">
        <v>2422</v>
      </c>
      <c r="B15" s="29" t="s">
        <v>1953</v>
      </c>
      <c r="C15" s="7" t="s">
        <v>2425</v>
      </c>
      <c r="D15" s="30">
        <v>1531</v>
      </c>
      <c r="E15" s="46"/>
    </row>
    <row r="16" spans="1:5" ht="12.75" outlineLevel="2">
      <c r="A16" s="7" t="s">
        <v>2422</v>
      </c>
      <c r="B16" s="29" t="s">
        <v>1953</v>
      </c>
      <c r="C16" s="7" t="s">
        <v>2423</v>
      </c>
      <c r="D16" s="30">
        <v>816</v>
      </c>
      <c r="E16" s="46"/>
    </row>
    <row r="17" spans="1:5" ht="12.75" outlineLevel="2">
      <c r="A17" s="8" t="s">
        <v>2461</v>
      </c>
      <c r="B17" s="29" t="s">
        <v>1953</v>
      </c>
      <c r="C17" s="7" t="s">
        <v>2463</v>
      </c>
      <c r="D17" s="31">
        <v>578</v>
      </c>
      <c r="E17" s="46"/>
    </row>
    <row r="18" spans="1:5" ht="12.75" outlineLevel="2">
      <c r="A18" s="8" t="s">
        <v>2326</v>
      </c>
      <c r="B18" s="29" t="s">
        <v>1953</v>
      </c>
      <c r="C18" s="7" t="s">
        <v>1298</v>
      </c>
      <c r="D18" s="31">
        <v>94.7</v>
      </c>
      <c r="E18" s="46"/>
    </row>
    <row r="19" spans="1:5" ht="12.75" outlineLevel="2">
      <c r="A19" s="8" t="s">
        <v>2555</v>
      </c>
      <c r="B19" s="29" t="s">
        <v>1953</v>
      </c>
      <c r="C19" s="7" t="s">
        <v>2556</v>
      </c>
      <c r="D19" s="31">
        <v>2846</v>
      </c>
      <c r="E19" s="46"/>
    </row>
    <row r="20" spans="1:5" ht="12.75" outlineLevel="2">
      <c r="A20" s="8" t="s">
        <v>1317</v>
      </c>
      <c r="B20" s="29" t="s">
        <v>1953</v>
      </c>
      <c r="C20" s="7" t="s">
        <v>2200</v>
      </c>
      <c r="D20" s="31">
        <v>9.08</v>
      </c>
      <c r="E20" s="46"/>
    </row>
    <row r="21" spans="1:5" ht="12.75" outlineLevel="2">
      <c r="A21" s="8" t="s">
        <v>2674</v>
      </c>
      <c r="B21" s="29" t="s">
        <v>1954</v>
      </c>
      <c r="C21" s="7" t="s">
        <v>2675</v>
      </c>
      <c r="D21" s="31">
        <v>208</v>
      </c>
      <c r="E21" s="46"/>
    </row>
    <row r="22" spans="1:5" ht="12.75" outlineLevel="2">
      <c r="A22" s="8" t="s">
        <v>2709</v>
      </c>
      <c r="B22" s="29" t="s">
        <v>1954</v>
      </c>
      <c r="C22" s="7" t="s">
        <v>2710</v>
      </c>
      <c r="D22" s="31">
        <v>7906</v>
      </c>
      <c r="E22" s="46"/>
    </row>
    <row r="23" spans="1:5" ht="12.75" outlineLevel="2">
      <c r="A23" s="8" t="s">
        <v>578</v>
      </c>
      <c r="B23" s="29" t="s">
        <v>1954</v>
      </c>
      <c r="C23" s="7" t="s">
        <v>559</v>
      </c>
      <c r="D23" s="16">
        <v>18.18</v>
      </c>
      <c r="E23" s="61"/>
    </row>
    <row r="24" spans="1:5" ht="12" customHeight="1" outlineLevel="2">
      <c r="A24" s="8" t="s">
        <v>2794</v>
      </c>
      <c r="B24" s="29" t="s">
        <v>1954</v>
      </c>
      <c r="C24" s="8" t="s">
        <v>1328</v>
      </c>
      <c r="D24" s="16">
        <v>189.4</v>
      </c>
      <c r="E24" s="61"/>
    </row>
    <row r="25" spans="1:5" ht="12.75" outlineLevel="2">
      <c r="A25" s="8" t="s">
        <v>1038</v>
      </c>
      <c r="B25" s="29" t="s">
        <v>1955</v>
      </c>
      <c r="C25" s="8" t="s">
        <v>1039</v>
      </c>
      <c r="D25" s="16">
        <v>1574</v>
      </c>
      <c r="E25" s="61"/>
    </row>
    <row r="26" spans="1:5" ht="12.75" outlineLevel="2">
      <c r="A26" s="7" t="s">
        <v>1073</v>
      </c>
      <c r="B26" s="7" t="s">
        <v>1956</v>
      </c>
      <c r="C26" s="7" t="s">
        <v>1074</v>
      </c>
      <c r="D26" s="16">
        <v>90.89</v>
      </c>
      <c r="E26" s="61"/>
    </row>
    <row r="27" spans="1:5" ht="12.75" outlineLevel="2">
      <c r="A27" s="8" t="s">
        <v>1818</v>
      </c>
      <c r="B27" s="29" t="s">
        <v>1958</v>
      </c>
      <c r="C27" s="8" t="s">
        <v>2666</v>
      </c>
      <c r="D27" s="16">
        <v>128.72</v>
      </c>
      <c r="E27" s="61"/>
    </row>
    <row r="28" spans="1:5" ht="12.75" outlineLevel="2">
      <c r="A28" s="55" t="s">
        <v>1831</v>
      </c>
      <c r="B28" s="29" t="s">
        <v>1958</v>
      </c>
      <c r="C28" s="55" t="s">
        <v>1832</v>
      </c>
      <c r="D28" s="16">
        <v>257.44</v>
      </c>
      <c r="E28" s="61"/>
    </row>
    <row r="29" spans="1:5" ht="12.75" outlineLevel="2">
      <c r="A29" s="55" t="s">
        <v>1866</v>
      </c>
      <c r="B29" s="29" t="s">
        <v>1958</v>
      </c>
      <c r="C29" s="55" t="s">
        <v>1867</v>
      </c>
      <c r="D29" s="16">
        <v>9.09</v>
      </c>
      <c r="E29" s="61"/>
    </row>
    <row r="30" spans="1:5" ht="12.75" outlineLevel="2">
      <c r="A30" s="55" t="s">
        <v>904</v>
      </c>
      <c r="B30" s="29" t="s">
        <v>1958</v>
      </c>
      <c r="C30" s="55" t="s">
        <v>907</v>
      </c>
      <c r="D30" s="16">
        <v>5105</v>
      </c>
      <c r="E30" s="61"/>
    </row>
    <row r="31" spans="1:5" ht="12.75" outlineLevel="2">
      <c r="A31" s="8" t="s">
        <v>2728</v>
      </c>
      <c r="B31" s="29" t="s">
        <v>1957</v>
      </c>
      <c r="C31" s="8" t="s">
        <v>1199</v>
      </c>
      <c r="D31" s="16">
        <v>1669.33</v>
      </c>
      <c r="E31" s="61"/>
    </row>
    <row r="32" spans="1:5" ht="12.75" outlineLevel="2">
      <c r="A32" s="8" t="s">
        <v>1241</v>
      </c>
      <c r="B32" s="29" t="s">
        <v>1957</v>
      </c>
      <c r="C32" s="8" t="s">
        <v>313</v>
      </c>
      <c r="D32" s="16">
        <v>549</v>
      </c>
      <c r="E32" s="61"/>
    </row>
    <row r="33" spans="1:5" ht="12.75" outlineLevel="2">
      <c r="A33" s="8" t="s">
        <v>2682</v>
      </c>
      <c r="B33" s="29" t="s">
        <v>1959</v>
      </c>
      <c r="C33" s="8" t="s">
        <v>2141</v>
      </c>
      <c r="D33" s="16">
        <v>8920</v>
      </c>
      <c r="E33" s="61"/>
    </row>
    <row r="34" spans="1:5" ht="12.75" outlineLevel="2">
      <c r="A34" s="7" t="s">
        <v>2740</v>
      </c>
      <c r="B34" s="29" t="s">
        <v>1960</v>
      </c>
      <c r="C34" s="7" t="s">
        <v>2741</v>
      </c>
      <c r="D34" s="16">
        <v>467.05</v>
      </c>
      <c r="E34" s="61"/>
    </row>
    <row r="35" spans="1:5" ht="12.75" outlineLevel="2">
      <c r="A35" s="8" t="s">
        <v>10</v>
      </c>
      <c r="B35" s="29" t="s">
        <v>1960</v>
      </c>
      <c r="C35" s="55" t="s">
        <v>2727</v>
      </c>
      <c r="D35" s="16">
        <v>4106.84</v>
      </c>
      <c r="E35" s="61"/>
    </row>
    <row r="36" spans="1:5" ht="12.75" outlineLevel="2">
      <c r="A36" s="8" t="s">
        <v>936</v>
      </c>
      <c r="B36" s="29" t="s">
        <v>1960</v>
      </c>
      <c r="C36" s="8" t="s">
        <v>937</v>
      </c>
      <c r="D36" s="16">
        <v>27273.6</v>
      </c>
      <c r="E36" s="61"/>
    </row>
    <row r="37" spans="1:5" ht="38.25" outlineLevel="2">
      <c r="A37" s="8" t="s">
        <v>746</v>
      </c>
      <c r="B37" s="29" t="s">
        <v>1961</v>
      </c>
      <c r="C37" s="8" t="s">
        <v>747</v>
      </c>
      <c r="D37" s="16">
        <v>8217</v>
      </c>
      <c r="E37" s="61"/>
    </row>
    <row r="38" spans="1:5" ht="25.5" outlineLevel="2">
      <c r="A38" s="8" t="s">
        <v>2674</v>
      </c>
      <c r="B38" s="29" t="s">
        <v>1961</v>
      </c>
      <c r="C38" s="8" t="s">
        <v>768</v>
      </c>
      <c r="D38" s="16">
        <v>1006</v>
      </c>
      <c r="E38" s="61"/>
    </row>
    <row r="39" spans="1:5" ht="12.75" outlineLevel="2">
      <c r="A39" s="55" t="s">
        <v>1404</v>
      </c>
      <c r="B39" s="52" t="s">
        <v>1961</v>
      </c>
      <c r="C39" s="55" t="s">
        <v>1405</v>
      </c>
      <c r="D39" s="16">
        <v>4946</v>
      </c>
      <c r="E39" s="61"/>
    </row>
    <row r="40" spans="1:5" ht="25.5" outlineLevel="2">
      <c r="A40" s="55" t="s">
        <v>1443</v>
      </c>
      <c r="B40" s="52" t="s">
        <v>1961</v>
      </c>
      <c r="C40" s="55" t="s">
        <v>1444</v>
      </c>
      <c r="D40" s="16">
        <v>28267.8</v>
      </c>
      <c r="E40" s="61"/>
    </row>
    <row r="41" spans="1:5" ht="12.75" outlineLevel="2">
      <c r="A41" s="55" t="s">
        <v>1473</v>
      </c>
      <c r="B41" s="52" t="s">
        <v>1961</v>
      </c>
      <c r="C41" s="55" t="s">
        <v>1474</v>
      </c>
      <c r="D41" s="16">
        <v>5505</v>
      </c>
      <c r="E41" s="61"/>
    </row>
    <row r="42" spans="1:5" ht="12.75" outlineLevel="2">
      <c r="A42" s="8" t="s">
        <v>1515</v>
      </c>
      <c r="B42" s="52" t="s">
        <v>1961</v>
      </c>
      <c r="C42" s="55" t="s">
        <v>1516</v>
      </c>
      <c r="D42" s="16">
        <v>9.09</v>
      </c>
      <c r="E42" s="61"/>
    </row>
    <row r="43" spans="1:5" ht="12.75" outlineLevel="2">
      <c r="A43" s="8" t="s">
        <v>1532</v>
      </c>
      <c r="B43" s="52" t="s">
        <v>1961</v>
      </c>
      <c r="C43" s="55" t="s">
        <v>1516</v>
      </c>
      <c r="D43" s="16">
        <v>36.35</v>
      </c>
      <c r="E43" s="61"/>
    </row>
    <row r="44" spans="1:5" ht="25.5" outlineLevel="2">
      <c r="A44" s="8" t="s">
        <v>1533</v>
      </c>
      <c r="B44" s="52" t="s">
        <v>1961</v>
      </c>
      <c r="C44" s="55" t="s">
        <v>1516</v>
      </c>
      <c r="D44" s="16">
        <v>9.09</v>
      </c>
      <c r="E44" s="61"/>
    </row>
    <row r="45" spans="1:5" ht="25.5" outlineLevel="2">
      <c r="A45" s="8" t="s">
        <v>1534</v>
      </c>
      <c r="B45" s="52" t="s">
        <v>1961</v>
      </c>
      <c r="C45" s="55" t="s">
        <v>1516</v>
      </c>
      <c r="D45" s="16">
        <v>54.53</v>
      </c>
      <c r="E45" s="61"/>
    </row>
    <row r="46" spans="1:5" ht="25.5" outlineLevel="2">
      <c r="A46" s="8" t="s">
        <v>1551</v>
      </c>
      <c r="B46" s="52" t="s">
        <v>1961</v>
      </c>
      <c r="C46" s="55" t="s">
        <v>1552</v>
      </c>
      <c r="D46" s="16">
        <v>551.19</v>
      </c>
      <c r="E46" s="61"/>
    </row>
    <row r="47" spans="1:5" ht="25.5" outlineLevel="2">
      <c r="A47" s="8" t="s">
        <v>1653</v>
      </c>
      <c r="B47" s="29" t="s">
        <v>1961</v>
      </c>
      <c r="C47" s="55" t="s">
        <v>2727</v>
      </c>
      <c r="D47" s="7">
        <v>4698.51</v>
      </c>
      <c r="E47" s="61"/>
    </row>
    <row r="48" spans="1:5" ht="25.5" outlineLevel="2">
      <c r="A48" s="8" t="s">
        <v>1535</v>
      </c>
      <c r="B48" s="52" t="s">
        <v>1961</v>
      </c>
      <c r="C48" s="55" t="s">
        <v>1516</v>
      </c>
      <c r="D48" s="16">
        <v>27.27</v>
      </c>
      <c r="E48" s="61"/>
    </row>
    <row r="49" spans="1:5" ht="12.75" outlineLevel="1">
      <c r="A49" s="117" t="s">
        <v>1340</v>
      </c>
      <c r="B49" s="118"/>
      <c r="C49" s="119"/>
      <c r="D49" s="28">
        <f>SUM(D50:D50)</f>
        <v>121</v>
      </c>
      <c r="E49" s="46"/>
    </row>
    <row r="50" spans="1:5" ht="12.75" outlineLevel="2">
      <c r="A50" s="9" t="s">
        <v>2542</v>
      </c>
      <c r="B50" s="29" t="s">
        <v>1953</v>
      </c>
      <c r="C50" s="7" t="s">
        <v>2543</v>
      </c>
      <c r="D50" s="30">
        <v>121</v>
      </c>
      <c r="E50" s="46"/>
    </row>
    <row r="51" spans="1:5" ht="12.75" outlineLevel="1">
      <c r="A51" s="117" t="s">
        <v>1342</v>
      </c>
      <c r="B51" s="118"/>
      <c r="C51" s="119"/>
      <c r="D51" s="28">
        <f>SUM(D52:D53)</f>
        <v>69678.68</v>
      </c>
      <c r="E51" s="46"/>
    </row>
    <row r="52" spans="1:5" ht="25.5" outlineLevel="2">
      <c r="A52" s="7" t="s">
        <v>2809</v>
      </c>
      <c r="B52" s="29" t="s">
        <v>1951</v>
      </c>
      <c r="C52" s="7" t="s">
        <v>647</v>
      </c>
      <c r="D52" s="30">
        <v>42339</v>
      </c>
      <c r="E52" s="46"/>
    </row>
    <row r="53" spans="1:5" ht="12.75" outlineLevel="2">
      <c r="A53" s="7" t="s">
        <v>1155</v>
      </c>
      <c r="B53" s="29" t="s">
        <v>1156</v>
      </c>
      <c r="C53" s="7" t="s">
        <v>1157</v>
      </c>
      <c r="D53" s="16">
        <v>27339.68</v>
      </c>
      <c r="E53" s="46"/>
    </row>
    <row r="54" spans="1:5" ht="12.75" outlineLevel="1">
      <c r="A54" s="117" t="s">
        <v>1344</v>
      </c>
      <c r="B54" s="118"/>
      <c r="C54" s="119"/>
      <c r="D54" s="28">
        <f>SUM(D55:D66)</f>
        <v>187827.91</v>
      </c>
      <c r="E54" s="46"/>
    </row>
    <row r="55" spans="1:5" ht="12.75" outlineLevel="2">
      <c r="A55" s="7"/>
      <c r="B55" s="29" t="s">
        <v>849</v>
      </c>
      <c r="C55" s="7" t="s">
        <v>1950</v>
      </c>
      <c r="D55" s="30">
        <f>3607+3150+1347.94+3189.03+1380.82+1056.62</f>
        <v>13731.41</v>
      </c>
      <c r="E55" s="46"/>
    </row>
    <row r="56" spans="1:5" ht="12.75" outlineLevel="2">
      <c r="A56" s="7"/>
      <c r="B56" s="29" t="s">
        <v>1951</v>
      </c>
      <c r="C56" s="7" t="s">
        <v>1950</v>
      </c>
      <c r="D56" s="30">
        <f>3607.3+3150.68+1872.14+4429.21+1917.8+1187.21</f>
        <v>16164.339999999997</v>
      </c>
      <c r="E56" s="46"/>
    </row>
    <row r="57" spans="1:5" ht="12.75" outlineLevel="2">
      <c r="A57" s="7"/>
      <c r="B57" s="29" t="s">
        <v>1952</v>
      </c>
      <c r="C57" s="7" t="s">
        <v>1950</v>
      </c>
      <c r="D57" s="30">
        <f>3607.3+3150.68+1872.14+4429.21+1917.8+1187.21+273.97</f>
        <v>16438.309999999998</v>
      </c>
      <c r="E57" s="46"/>
    </row>
    <row r="58" spans="1:5" ht="12.75" outlineLevel="2">
      <c r="A58" s="7"/>
      <c r="B58" s="29" t="s">
        <v>1953</v>
      </c>
      <c r="C58" s="7" t="s">
        <v>1950</v>
      </c>
      <c r="D58" s="30">
        <f>3607.3+2785.38+5986.29+1735.16+1127.85+235.62</f>
        <v>15477.600000000002</v>
      </c>
      <c r="E58" s="46"/>
    </row>
    <row r="59" spans="1:5" ht="12.75" outlineLevel="2">
      <c r="A59" s="7"/>
      <c r="B59" s="29" t="s">
        <v>1954</v>
      </c>
      <c r="C59" s="7" t="s">
        <v>1950</v>
      </c>
      <c r="D59" s="30">
        <f>3607.3+2420.09+6210.03+1689.49+1141.55+246.57</f>
        <v>15315.029999999999</v>
      </c>
      <c r="E59" s="46"/>
    </row>
    <row r="60" spans="1:5" ht="12.75" outlineLevel="2">
      <c r="A60" s="7"/>
      <c r="B60" s="29" t="s">
        <v>1955</v>
      </c>
      <c r="C60" s="7" t="s">
        <v>1950</v>
      </c>
      <c r="D60" s="30">
        <f>1803.65+1210.04+3150.68+844.75+570.78</f>
        <v>7579.9</v>
      </c>
      <c r="E60" s="46"/>
    </row>
    <row r="61" spans="1:5" ht="12.75" outlineLevel="2">
      <c r="A61" s="7"/>
      <c r="B61" s="29" t="s">
        <v>1956</v>
      </c>
      <c r="C61" s="7" t="s">
        <v>1950</v>
      </c>
      <c r="D61" s="30">
        <f>4018.26+2694.06+4781.72+1058.81+869.4+5753.41</f>
        <v>19175.66</v>
      </c>
      <c r="E61" s="46"/>
    </row>
    <row r="62" spans="1:5" ht="12.75" outlineLevel="2">
      <c r="A62" s="7"/>
      <c r="B62" s="29" t="s">
        <v>1957</v>
      </c>
      <c r="C62" s="7" t="s">
        <v>1950</v>
      </c>
      <c r="D62" s="30">
        <f>4018.26+2694.06+7031.07+1557.07+1278.54</f>
        <v>16579</v>
      </c>
      <c r="E62" s="46"/>
    </row>
    <row r="63" spans="1:5" ht="12.75" outlineLevel="2">
      <c r="A63" s="7"/>
      <c r="B63" s="29" t="s">
        <v>1958</v>
      </c>
      <c r="C63" s="7" t="s">
        <v>1950</v>
      </c>
      <c r="D63" s="30">
        <f>4018.26+2694.06+7031.95+1557.07+1278.54</f>
        <v>16579.88</v>
      </c>
      <c r="E63" s="46"/>
    </row>
    <row r="64" spans="1:5" ht="12.75" outlineLevel="2">
      <c r="A64" s="7"/>
      <c r="B64" s="29" t="s">
        <v>1959</v>
      </c>
      <c r="C64" s="7" t="s">
        <v>1950</v>
      </c>
      <c r="D64" s="30">
        <f>4018.26+2694.06+7031.95+1557.07+549.77</f>
        <v>15851.11</v>
      </c>
      <c r="E64" s="46"/>
    </row>
    <row r="65" spans="1:5" ht="12.75" outlineLevel="2">
      <c r="A65" s="7"/>
      <c r="B65" s="29" t="s">
        <v>1960</v>
      </c>
      <c r="C65" s="7" t="s">
        <v>1950</v>
      </c>
      <c r="D65" s="30">
        <f>4018.26+3515.97+2100.45+4931.5+2146.11+1278.54</f>
        <v>17990.83</v>
      </c>
      <c r="E65" s="46"/>
    </row>
    <row r="66" spans="1:5" ht="12.75" outlineLevel="2">
      <c r="A66" s="11"/>
      <c r="B66" s="29" t="s">
        <v>1961</v>
      </c>
      <c r="C66" s="7" t="s">
        <v>1950</v>
      </c>
      <c r="D66" s="30">
        <f>4018.26+3515.97+1890.41+4438.35+1931.5+1150.35</f>
        <v>16944.84</v>
      </c>
      <c r="E66" s="46"/>
    </row>
    <row r="67" spans="1:5" ht="12.75" outlineLevel="1">
      <c r="A67" s="117" t="s">
        <v>1346</v>
      </c>
      <c r="B67" s="118"/>
      <c r="C67" s="119"/>
      <c r="D67" s="28">
        <f>SUM(D68:D83)</f>
        <v>33055.79</v>
      </c>
      <c r="E67" s="46"/>
    </row>
    <row r="68" spans="1:5" ht="23.25" customHeight="1" outlineLevel="2">
      <c r="A68" s="7" t="s">
        <v>1198</v>
      </c>
      <c r="B68" s="29" t="s">
        <v>849</v>
      </c>
      <c r="C68" s="7" t="s">
        <v>1708</v>
      </c>
      <c r="D68" s="30">
        <v>12400</v>
      </c>
      <c r="E68" s="46"/>
    </row>
    <row r="69" spans="1:5" ht="12.75" outlineLevel="2">
      <c r="A69" s="102" t="s">
        <v>2052</v>
      </c>
      <c r="B69" s="29" t="s">
        <v>849</v>
      </c>
      <c r="C69" s="7" t="s">
        <v>2265</v>
      </c>
      <c r="D69" s="30">
        <v>167</v>
      </c>
      <c r="E69" s="46"/>
    </row>
    <row r="70" spans="1:5" ht="12.75" outlineLevel="2">
      <c r="A70" s="102" t="s">
        <v>2052</v>
      </c>
      <c r="B70" s="29" t="s">
        <v>849</v>
      </c>
      <c r="C70" s="51" t="s">
        <v>2266</v>
      </c>
      <c r="D70" s="30">
        <v>167</v>
      </c>
      <c r="E70" s="46"/>
    </row>
    <row r="71" spans="1:5" ht="12.75" outlineLevel="2">
      <c r="A71" s="7" t="s">
        <v>2055</v>
      </c>
      <c r="B71" s="29" t="s">
        <v>849</v>
      </c>
      <c r="C71" s="7" t="s">
        <v>2056</v>
      </c>
      <c r="D71" s="30">
        <v>2000</v>
      </c>
      <c r="E71" s="46"/>
    </row>
    <row r="72" spans="1:5" ht="12.75" outlineLevel="2">
      <c r="A72" s="7" t="s">
        <v>2057</v>
      </c>
      <c r="B72" s="29" t="s">
        <v>849</v>
      </c>
      <c r="C72" s="7" t="s">
        <v>2056</v>
      </c>
      <c r="D72" s="30">
        <v>1500</v>
      </c>
      <c r="E72" s="46"/>
    </row>
    <row r="73" spans="1:5" ht="12.75" outlineLevel="2">
      <c r="A73" s="7" t="s">
        <v>2058</v>
      </c>
      <c r="B73" s="29" t="s">
        <v>849</v>
      </c>
      <c r="C73" s="7" t="s">
        <v>2056</v>
      </c>
      <c r="D73" s="30">
        <v>2400</v>
      </c>
      <c r="E73" s="46"/>
    </row>
    <row r="74" spans="1:5" ht="12.75" outlineLevel="2">
      <c r="A74" s="51" t="s">
        <v>2196</v>
      </c>
      <c r="B74" s="52" t="s">
        <v>849</v>
      </c>
      <c r="C74" s="51" t="s">
        <v>2197</v>
      </c>
      <c r="D74" s="30">
        <v>2465.22</v>
      </c>
      <c r="E74" s="46"/>
    </row>
    <row r="75" spans="1:5" ht="25.5" outlineLevel="2">
      <c r="A75" s="7" t="s">
        <v>2387</v>
      </c>
      <c r="B75" s="29" t="s">
        <v>1952</v>
      </c>
      <c r="C75" s="7" t="s">
        <v>2388</v>
      </c>
      <c r="D75" s="30">
        <v>300</v>
      </c>
      <c r="E75" s="46"/>
    </row>
    <row r="76" spans="1:5" ht="25.5" outlineLevel="2">
      <c r="A76" s="7" t="s">
        <v>2387</v>
      </c>
      <c r="B76" s="29" t="s">
        <v>1952</v>
      </c>
      <c r="C76" s="7" t="s">
        <v>2389</v>
      </c>
      <c r="D76" s="30">
        <v>29.25</v>
      </c>
      <c r="E76" s="46"/>
    </row>
    <row r="77" spans="1:5" ht="25.5" outlineLevel="2">
      <c r="A77" s="7" t="s">
        <v>2387</v>
      </c>
      <c r="B77" s="29" t="s">
        <v>1952</v>
      </c>
      <c r="C77" s="7" t="s">
        <v>2390</v>
      </c>
      <c r="D77" s="30">
        <v>175</v>
      </c>
      <c r="E77" s="46"/>
    </row>
    <row r="78" spans="1:5" ht="25.5" outlineLevel="2">
      <c r="A78" s="51" t="s">
        <v>2240</v>
      </c>
      <c r="B78" s="29" t="s">
        <v>1952</v>
      </c>
      <c r="C78" s="7" t="s">
        <v>2393</v>
      </c>
      <c r="D78" s="30">
        <v>200</v>
      </c>
      <c r="E78" s="46"/>
    </row>
    <row r="79" spans="1:5" ht="25.5" outlineLevel="2">
      <c r="A79" s="51" t="s">
        <v>2240</v>
      </c>
      <c r="B79" s="29" t="s">
        <v>1952</v>
      </c>
      <c r="C79" s="7" t="s">
        <v>2390</v>
      </c>
      <c r="D79" s="30">
        <v>350</v>
      </c>
      <c r="E79" s="46"/>
    </row>
    <row r="80" spans="1:5" ht="25.5" outlineLevel="2">
      <c r="A80" s="51" t="s">
        <v>2240</v>
      </c>
      <c r="B80" s="29" t="s">
        <v>1952</v>
      </c>
      <c r="C80" s="7" t="s">
        <v>2394</v>
      </c>
      <c r="D80" s="30">
        <v>19.5</v>
      </c>
      <c r="E80" s="46"/>
    </row>
    <row r="81" spans="1:5" ht="12.75" outlineLevel="2">
      <c r="A81" s="7" t="s">
        <v>460</v>
      </c>
      <c r="B81" s="29" t="s">
        <v>1958</v>
      </c>
      <c r="C81" s="7" t="s">
        <v>709</v>
      </c>
      <c r="D81" s="30">
        <v>8649.52</v>
      </c>
      <c r="E81" s="46"/>
    </row>
    <row r="82" spans="1:5" ht="12.75" outlineLevel="2">
      <c r="A82" s="51" t="s">
        <v>220</v>
      </c>
      <c r="B82" s="52" t="s">
        <v>1961</v>
      </c>
      <c r="C82" s="51" t="s">
        <v>221</v>
      </c>
      <c r="D82" s="30">
        <v>233.3</v>
      </c>
      <c r="E82" s="46"/>
    </row>
    <row r="83" spans="1:5" ht="12.75" outlineLevel="2">
      <c r="A83" s="51" t="s">
        <v>1418</v>
      </c>
      <c r="B83" s="52" t="s">
        <v>1961</v>
      </c>
      <c r="C83" s="51" t="s">
        <v>1419</v>
      </c>
      <c r="D83" s="30">
        <v>2000</v>
      </c>
      <c r="E83" s="46"/>
    </row>
    <row r="84" spans="1:5" ht="12.75" customHeight="1" outlineLevel="1">
      <c r="A84" s="57" t="s">
        <v>1341</v>
      </c>
      <c r="B84" s="56"/>
      <c r="C84" s="56"/>
      <c r="D84" s="58">
        <f>SUM(D85:D87)</f>
        <v>1254</v>
      </c>
      <c r="E84" s="46"/>
    </row>
    <row r="85" spans="1:5" ht="12.75" outlineLevel="2">
      <c r="A85" s="7" t="s">
        <v>507</v>
      </c>
      <c r="B85" s="29" t="s">
        <v>1952</v>
      </c>
      <c r="C85" s="7" t="s">
        <v>511</v>
      </c>
      <c r="D85" s="30">
        <v>118</v>
      </c>
      <c r="E85" s="46"/>
    </row>
    <row r="86" spans="1:5" ht="12.75" outlineLevel="2">
      <c r="A86" s="7" t="s">
        <v>2537</v>
      </c>
      <c r="B86" s="29" t="s">
        <v>1953</v>
      </c>
      <c r="C86" s="7" t="s">
        <v>2538</v>
      </c>
      <c r="D86" s="30">
        <v>654</v>
      </c>
      <c r="E86" s="46"/>
    </row>
    <row r="87" spans="1:5" ht="13.5" outlineLevel="2" thickBot="1">
      <c r="A87" s="7" t="s">
        <v>2699</v>
      </c>
      <c r="B87" s="29" t="s">
        <v>1954</v>
      </c>
      <c r="C87" s="7" t="s">
        <v>2700</v>
      </c>
      <c r="D87" s="30">
        <v>482</v>
      </c>
      <c r="E87" s="46"/>
    </row>
    <row r="88" spans="1:5" ht="12.75" customHeight="1">
      <c r="A88" s="147" t="s">
        <v>1349</v>
      </c>
      <c r="B88" s="148"/>
      <c r="C88" s="69" t="s">
        <v>42</v>
      </c>
      <c r="D88" s="32">
        <v>1932079</v>
      </c>
      <c r="E88" s="45"/>
    </row>
    <row r="89" spans="1:6" ht="12.75">
      <c r="A89" s="6">
        <v>4566.2</v>
      </c>
      <c r="B89" s="6" t="s">
        <v>1356</v>
      </c>
      <c r="C89" s="37" t="s">
        <v>1345</v>
      </c>
      <c r="D89" s="23">
        <f>(4566.2*6*1.46)+(4566.2*6*1.63)</f>
        <v>84657.348</v>
      </c>
      <c r="E89" s="46"/>
      <c r="F89" s="37" t="s">
        <v>1352</v>
      </c>
    </row>
    <row r="90" spans="1:6" ht="13.5" thickBot="1">
      <c r="A90" s="6">
        <v>4566.2</v>
      </c>
      <c r="B90" s="6" t="s">
        <v>1356</v>
      </c>
      <c r="C90" s="37" t="s">
        <v>1357</v>
      </c>
      <c r="D90" s="23">
        <f>(4566.2*6*0.1)+(4566.2*6*0.11)</f>
        <v>5753.411999999999</v>
      </c>
      <c r="E90" s="46"/>
      <c r="F90" s="37" t="s">
        <v>1351</v>
      </c>
    </row>
    <row r="91" spans="1:6" ht="12.75" customHeight="1" thickTop="1">
      <c r="A91" s="132" t="s">
        <v>1361</v>
      </c>
      <c r="B91" s="133"/>
      <c r="C91" s="134"/>
      <c r="D91" s="76">
        <f>(4566.2*6*0.94)+(4566.2*6*1.03)</f>
        <v>53972.484</v>
      </c>
      <c r="E91" s="48"/>
      <c r="F91" s="14" t="s">
        <v>787</v>
      </c>
    </row>
    <row r="92" spans="1:6" ht="12.75" customHeight="1">
      <c r="A92" s="125" t="s">
        <v>1350</v>
      </c>
      <c r="B92" s="126"/>
      <c r="C92" s="127"/>
      <c r="D92" s="76">
        <f>(4566.2*6*1.57)+(4566.2*6*1.75)</f>
        <v>90958.704</v>
      </c>
      <c r="E92" s="48"/>
      <c r="F92" s="14" t="s">
        <v>788</v>
      </c>
    </row>
    <row r="93" spans="1:6" ht="12.75" customHeight="1">
      <c r="A93" s="125" t="s">
        <v>1362</v>
      </c>
      <c r="B93" s="126"/>
      <c r="C93" s="127"/>
      <c r="D93" s="18">
        <f>10.3*(D95+D96)/100</f>
        <v>125570.99255000002</v>
      </c>
      <c r="E93" s="48"/>
      <c r="F93" s="14" t="s">
        <v>789</v>
      </c>
    </row>
    <row r="94" spans="1:6" ht="12.75" customHeight="1">
      <c r="A94" s="120" t="s">
        <v>1363</v>
      </c>
      <c r="B94" s="121"/>
      <c r="C94" s="122"/>
      <c r="D94" s="41">
        <f>D93+D92+D91+D3</f>
        <v>782510.5705500001</v>
      </c>
      <c r="E94" s="48">
        <v>1</v>
      </c>
      <c r="F94" s="14" t="s">
        <v>790</v>
      </c>
    </row>
    <row r="95" spans="1:6" ht="12.75" customHeight="1">
      <c r="A95" s="114" t="s">
        <v>1364</v>
      </c>
      <c r="B95" s="115"/>
      <c r="C95" s="116"/>
      <c r="D95" s="18">
        <v>1068451.25</v>
      </c>
      <c r="E95" s="48">
        <v>2</v>
      </c>
      <c r="F95" s="27"/>
    </row>
    <row r="96" spans="1:6" ht="12.75" customHeight="1">
      <c r="A96" s="114" t="s">
        <v>1365</v>
      </c>
      <c r="B96" s="115"/>
      <c r="C96" s="116"/>
      <c r="D96" s="18">
        <f>150684.6</f>
        <v>150684.6</v>
      </c>
      <c r="E96" s="48">
        <v>3</v>
      </c>
      <c r="F96" s="37" t="s">
        <v>1352</v>
      </c>
    </row>
    <row r="97" spans="1:6" ht="12.75" customHeight="1">
      <c r="A97" s="114" t="s">
        <v>2221</v>
      </c>
      <c r="B97" s="115"/>
      <c r="C97" s="116"/>
      <c r="D97" s="19">
        <f>1185846.24+D95</f>
        <v>2254297.49</v>
      </c>
      <c r="E97" s="48">
        <v>4</v>
      </c>
      <c r="F97" s="37" t="s">
        <v>791</v>
      </c>
    </row>
    <row r="98" spans="1:6" ht="13.5" customHeight="1">
      <c r="A98" s="114" t="s">
        <v>2222</v>
      </c>
      <c r="B98" s="115"/>
      <c r="C98" s="116"/>
      <c r="D98" s="19">
        <f>903552.79+D103</f>
        <v>1890008.32</v>
      </c>
      <c r="E98" s="48">
        <v>5</v>
      </c>
      <c r="F98" s="14" t="s">
        <v>843</v>
      </c>
    </row>
    <row r="99" spans="1:6" ht="25.5" customHeight="1">
      <c r="A99" s="120" t="s">
        <v>2223</v>
      </c>
      <c r="B99" s="121"/>
      <c r="C99" s="122"/>
      <c r="D99" s="42">
        <f>1023812.64+D94</f>
        <v>1806323.21055</v>
      </c>
      <c r="E99" s="48">
        <v>6</v>
      </c>
      <c r="F99" s="14" t="s">
        <v>844</v>
      </c>
    </row>
    <row r="100" spans="1:6" ht="12.75" customHeight="1">
      <c r="A100" s="114" t="s">
        <v>2224</v>
      </c>
      <c r="B100" s="115"/>
      <c r="C100" s="116"/>
      <c r="D100" s="19">
        <f>169578.6+D96</f>
        <v>320263.2</v>
      </c>
      <c r="E100" s="48">
        <v>7</v>
      </c>
      <c r="F100" s="14" t="s">
        <v>845</v>
      </c>
    </row>
    <row r="101" spans="1:6" ht="12.75" customHeight="1">
      <c r="A101" s="114" t="s">
        <v>2225</v>
      </c>
      <c r="B101" s="115"/>
      <c r="C101" s="116"/>
      <c r="D101" s="19">
        <f>128242.2+D104</f>
        <v>267362.87</v>
      </c>
      <c r="E101" s="48">
        <v>8</v>
      </c>
      <c r="F101" s="14" t="s">
        <v>787</v>
      </c>
    </row>
    <row r="102" spans="1:6" ht="12.75" customHeight="1">
      <c r="A102" s="120" t="s">
        <v>2226</v>
      </c>
      <c r="B102" s="121"/>
      <c r="C102" s="122"/>
      <c r="D102" s="42">
        <f>0+D105</f>
        <v>1932079</v>
      </c>
      <c r="E102" s="48">
        <v>9</v>
      </c>
      <c r="F102" s="14" t="s">
        <v>846</v>
      </c>
    </row>
    <row r="103" spans="1:6" ht="12.75" customHeight="1">
      <c r="A103" s="114" t="s">
        <v>779</v>
      </c>
      <c r="B103" s="115"/>
      <c r="C103" s="116"/>
      <c r="D103" s="18">
        <v>986455.53</v>
      </c>
      <c r="E103" s="48">
        <v>10</v>
      </c>
      <c r="F103" s="14" t="s">
        <v>847</v>
      </c>
    </row>
    <row r="104" spans="1:6" ht="12.75" customHeight="1">
      <c r="A104" s="114" t="s">
        <v>780</v>
      </c>
      <c r="B104" s="115"/>
      <c r="C104" s="116"/>
      <c r="D104" s="18">
        <v>139120.67</v>
      </c>
      <c r="E104" s="48">
        <v>11</v>
      </c>
      <c r="F104" s="14" t="s">
        <v>848</v>
      </c>
    </row>
    <row r="105" spans="1:6" ht="12.75" customHeight="1">
      <c r="A105" s="120" t="s">
        <v>781</v>
      </c>
      <c r="B105" s="121"/>
      <c r="C105" s="122"/>
      <c r="D105" s="41">
        <f>D88</f>
        <v>1932079</v>
      </c>
      <c r="E105" s="48">
        <v>12</v>
      </c>
      <c r="F105" s="43"/>
    </row>
    <row r="106" spans="1:6" ht="27" customHeight="1">
      <c r="A106" s="108" t="s">
        <v>782</v>
      </c>
      <c r="B106" s="109"/>
      <c r="C106" s="110"/>
      <c r="D106" s="26">
        <f>D97-D99</f>
        <v>447974.27945000026</v>
      </c>
      <c r="E106" s="48">
        <v>13</v>
      </c>
      <c r="F106" s="43"/>
    </row>
    <row r="107" spans="1:6" ht="25.5" customHeight="1">
      <c r="A107" s="108" t="s">
        <v>1623</v>
      </c>
      <c r="B107" s="109"/>
      <c r="C107" s="110"/>
      <c r="D107" s="26">
        <f>D100-D102</f>
        <v>-1611815.8</v>
      </c>
      <c r="E107" s="48">
        <v>14</v>
      </c>
      <c r="F107" s="43"/>
    </row>
    <row r="108" spans="1:6" ht="25.5" customHeight="1">
      <c r="A108" s="108" t="s">
        <v>784</v>
      </c>
      <c r="B108" s="109"/>
      <c r="C108" s="110"/>
      <c r="D108" s="26">
        <f>D98-D99</f>
        <v>83685.1094500001</v>
      </c>
      <c r="E108" s="48">
        <v>15</v>
      </c>
      <c r="F108" s="43"/>
    </row>
    <row r="109" ht="12.75">
      <c r="F109" s="43"/>
    </row>
  </sheetData>
  <sheetProtection/>
  <mergeCells count="26">
    <mergeCell ref="A88:B88"/>
    <mergeCell ref="A3:C3"/>
    <mergeCell ref="A4:C4"/>
    <mergeCell ref="A49:C49"/>
    <mergeCell ref="A51:C51"/>
    <mergeCell ref="A54:C54"/>
    <mergeCell ref="A67:C67"/>
    <mergeCell ref="A100:C100"/>
    <mergeCell ref="A91:C91"/>
    <mergeCell ref="A96:C96"/>
    <mergeCell ref="A97:C97"/>
    <mergeCell ref="A98:C98"/>
    <mergeCell ref="A93:C93"/>
    <mergeCell ref="A94:C94"/>
    <mergeCell ref="A95:C95"/>
    <mergeCell ref="A92:C92"/>
    <mergeCell ref="A1:D1"/>
    <mergeCell ref="A108:C108"/>
    <mergeCell ref="A101:C101"/>
    <mergeCell ref="A102:C102"/>
    <mergeCell ref="A103:C103"/>
    <mergeCell ref="A104:C104"/>
    <mergeCell ref="A105:C105"/>
    <mergeCell ref="A106:C106"/>
    <mergeCell ref="A99:C99"/>
    <mergeCell ref="A107:C107"/>
  </mergeCells>
  <printOptions/>
  <pageMargins left="0.28" right="0.7" top="0.5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2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D111" sqref="A1:D111"/>
    </sheetView>
  </sheetViews>
  <sheetFormatPr defaultColWidth="13.421875" defaultRowHeight="12.75" outlineLevelRow="2"/>
  <cols>
    <col min="1" max="1" width="11.710937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1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thickBot="1">
      <c r="A1" s="106" t="s">
        <v>1568</v>
      </c>
      <c r="B1" s="107"/>
      <c r="C1" s="107"/>
      <c r="D1" s="107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5"/>
    </row>
    <row r="3" spans="1:5" ht="12.75" customHeight="1">
      <c r="A3" s="123" t="s">
        <v>1339</v>
      </c>
      <c r="B3" s="123"/>
      <c r="C3" s="123"/>
      <c r="D3" s="21">
        <f>D4</f>
        <v>58141</v>
      </c>
      <c r="E3" s="22"/>
    </row>
    <row r="4" spans="1:5" ht="12.75" outlineLevel="1">
      <c r="A4" s="117" t="s">
        <v>1354</v>
      </c>
      <c r="B4" s="118"/>
      <c r="C4" s="119"/>
      <c r="D4" s="28">
        <f>D5</f>
        <v>58141</v>
      </c>
      <c r="E4" s="24"/>
    </row>
    <row r="5" spans="1:5" ht="12.75" outlineLevel="2">
      <c r="A5" s="7" t="s">
        <v>1177</v>
      </c>
      <c r="B5" s="29" t="s">
        <v>849</v>
      </c>
      <c r="C5" s="13" t="s">
        <v>1178</v>
      </c>
      <c r="D5" s="30">
        <v>58141</v>
      </c>
      <c r="E5" s="24"/>
    </row>
    <row r="6" spans="1:5" ht="13.5" customHeight="1" thickBot="1">
      <c r="A6" s="124" t="s">
        <v>1343</v>
      </c>
      <c r="B6" s="124"/>
      <c r="C6" s="124"/>
      <c r="D6" s="25">
        <f>D7+D59+D61+D64+D77+D84+D89+D91+D93+D94</f>
        <v>487163.25</v>
      </c>
      <c r="E6" s="22"/>
    </row>
    <row r="7" spans="1:5" ht="13.5" outlineLevel="1" thickTop="1">
      <c r="A7" s="111" t="s">
        <v>1354</v>
      </c>
      <c r="B7" s="112"/>
      <c r="C7" s="113"/>
      <c r="D7" s="28">
        <f>SUM(D8:D58)</f>
        <v>136075.61000000004</v>
      </c>
      <c r="E7" s="24"/>
    </row>
    <row r="8" spans="1:5" ht="12.75" outlineLevel="2">
      <c r="A8" s="7" t="s">
        <v>1911</v>
      </c>
      <c r="B8" s="29" t="s">
        <v>849</v>
      </c>
      <c r="C8" s="7" t="s">
        <v>1912</v>
      </c>
      <c r="D8" s="30">
        <v>2644</v>
      </c>
      <c r="E8" s="24"/>
    </row>
    <row r="9" spans="1:5" ht="12.75" outlineLevel="2">
      <c r="A9" s="7" t="s">
        <v>1921</v>
      </c>
      <c r="B9" s="29" t="s">
        <v>849</v>
      </c>
      <c r="C9" s="7" t="s">
        <v>1920</v>
      </c>
      <c r="D9" s="30">
        <v>825</v>
      </c>
      <c r="E9" s="24"/>
    </row>
    <row r="10" spans="1:5" ht="12.75" outlineLevel="2">
      <c r="A10" s="7" t="s">
        <v>230</v>
      </c>
      <c r="B10" s="29" t="s">
        <v>1951</v>
      </c>
      <c r="C10" s="7" t="s">
        <v>231</v>
      </c>
      <c r="D10" s="30">
        <v>446</v>
      </c>
      <c r="E10" s="24"/>
    </row>
    <row r="11" spans="1:5" ht="12.75" outlineLevel="2">
      <c r="A11" s="7" t="s">
        <v>455</v>
      </c>
      <c r="B11" s="29" t="s">
        <v>1951</v>
      </c>
      <c r="C11" s="7" t="s">
        <v>461</v>
      </c>
      <c r="D11" s="30">
        <v>720</v>
      </c>
      <c r="E11" s="24"/>
    </row>
    <row r="12" spans="1:5" ht="12.75" outlineLevel="2">
      <c r="A12" s="7" t="s">
        <v>1697</v>
      </c>
      <c r="B12" s="29" t="s">
        <v>1952</v>
      </c>
      <c r="C12" s="7" t="s">
        <v>2</v>
      </c>
      <c r="D12" s="30">
        <v>2200</v>
      </c>
      <c r="E12" s="24"/>
    </row>
    <row r="13" spans="1:5" ht="12.75" outlineLevel="2">
      <c r="A13" s="7" t="s">
        <v>3</v>
      </c>
      <c r="B13" s="29" t="s">
        <v>1952</v>
      </c>
      <c r="C13" s="7" t="s">
        <v>6</v>
      </c>
      <c r="D13" s="30">
        <v>1738</v>
      </c>
      <c r="E13" s="24"/>
    </row>
    <row r="14" spans="1:5" ht="12.75" outlineLevel="2">
      <c r="A14" s="7" t="s">
        <v>16</v>
      </c>
      <c r="B14" s="29" t="s">
        <v>1952</v>
      </c>
      <c r="C14" s="7" t="s">
        <v>17</v>
      </c>
      <c r="D14" s="30">
        <v>1023</v>
      </c>
      <c r="E14" s="24"/>
    </row>
    <row r="15" spans="1:5" ht="12.75" outlineLevel="2">
      <c r="A15" s="7" t="s">
        <v>499</v>
      </c>
      <c r="B15" s="29" t="s">
        <v>1952</v>
      </c>
      <c r="C15" s="7" t="s">
        <v>500</v>
      </c>
      <c r="D15" s="30">
        <v>1482</v>
      </c>
      <c r="E15" s="24"/>
    </row>
    <row r="16" spans="1:5" ht="12.75" outlineLevel="2">
      <c r="A16" s="7" t="s">
        <v>2381</v>
      </c>
      <c r="B16" s="29" t="s">
        <v>1952</v>
      </c>
      <c r="C16" s="7" t="s">
        <v>2174</v>
      </c>
      <c r="D16" s="30">
        <v>378.8</v>
      </c>
      <c r="E16" s="24"/>
    </row>
    <row r="17" spans="1:5" ht="12.75" outlineLevel="2">
      <c r="A17" s="7" t="s">
        <v>2294</v>
      </c>
      <c r="B17" s="29" t="s">
        <v>1953</v>
      </c>
      <c r="C17" s="7" t="s">
        <v>2296</v>
      </c>
      <c r="D17" s="30">
        <v>3072</v>
      </c>
      <c r="E17" s="24"/>
    </row>
    <row r="18" spans="1:5" ht="12.75" outlineLevel="2">
      <c r="A18" s="7" t="s">
        <v>2312</v>
      </c>
      <c r="B18" s="29" t="s">
        <v>1953</v>
      </c>
      <c r="C18" s="7" t="s">
        <v>2313</v>
      </c>
      <c r="D18" s="30">
        <v>808</v>
      </c>
      <c r="E18" s="24"/>
    </row>
    <row r="19" spans="1:5" ht="12.75" outlineLevel="2">
      <c r="A19" s="7" t="s">
        <v>1304</v>
      </c>
      <c r="B19" s="29" t="s">
        <v>1953</v>
      </c>
      <c r="C19" s="7" t="s">
        <v>1328</v>
      </c>
      <c r="D19" s="30">
        <v>757.6</v>
      </c>
      <c r="E19" s="24"/>
    </row>
    <row r="20" spans="1:5" ht="12.75" outlineLevel="2">
      <c r="A20" s="7" t="s">
        <v>2315</v>
      </c>
      <c r="B20" s="29" t="s">
        <v>1953</v>
      </c>
      <c r="C20" s="7" t="s">
        <v>2318</v>
      </c>
      <c r="D20" s="30">
        <v>602</v>
      </c>
      <c r="E20" s="24"/>
    </row>
    <row r="21" spans="1:5" ht="12.75" outlineLevel="2">
      <c r="A21" s="7" t="s">
        <v>2476</v>
      </c>
      <c r="B21" s="29" t="s">
        <v>1953</v>
      </c>
      <c r="C21" s="7" t="s">
        <v>2477</v>
      </c>
      <c r="D21" s="30">
        <v>2137</v>
      </c>
      <c r="E21" s="24"/>
    </row>
    <row r="22" spans="1:5" ht="12.75" outlineLevel="2">
      <c r="A22" s="8" t="s">
        <v>2605</v>
      </c>
      <c r="B22" s="29" t="s">
        <v>1954</v>
      </c>
      <c r="C22" s="7" t="s">
        <v>2608</v>
      </c>
      <c r="D22" s="31">
        <v>298</v>
      </c>
      <c r="E22" s="24"/>
    </row>
    <row r="23" spans="1:5" ht="12.75" outlineLevel="2">
      <c r="A23" s="8" t="s">
        <v>2619</v>
      </c>
      <c r="B23" s="29" t="s">
        <v>1954</v>
      </c>
      <c r="C23" s="7" t="s">
        <v>2620</v>
      </c>
      <c r="D23" s="31">
        <v>12330</v>
      </c>
      <c r="E23" s="24"/>
    </row>
    <row r="24" spans="1:5" ht="12.75" outlineLevel="2">
      <c r="A24" s="55" t="s">
        <v>2635</v>
      </c>
      <c r="B24" s="52" t="s">
        <v>1954</v>
      </c>
      <c r="C24" s="51" t="s">
        <v>2636</v>
      </c>
      <c r="D24" s="31">
        <v>2610</v>
      </c>
      <c r="E24" s="24"/>
    </row>
    <row r="25" spans="1:5" ht="12.75" outlineLevel="2">
      <c r="A25" s="8" t="s">
        <v>2650</v>
      </c>
      <c r="B25" s="29" t="s">
        <v>1954</v>
      </c>
      <c r="C25" s="7" t="s">
        <v>2651</v>
      </c>
      <c r="D25" s="31">
        <v>254</v>
      </c>
      <c r="E25" s="24"/>
    </row>
    <row r="26" spans="1:5" ht="12.75" outlineLevel="2">
      <c r="A26" s="8" t="s">
        <v>2667</v>
      </c>
      <c r="B26" s="29" t="s">
        <v>1954</v>
      </c>
      <c r="C26" s="7" t="s">
        <v>2671</v>
      </c>
      <c r="D26" s="31">
        <v>433</v>
      </c>
      <c r="E26" s="24"/>
    </row>
    <row r="27" spans="1:5" ht="12.75" outlineLevel="2">
      <c r="A27" s="8" t="s">
        <v>556</v>
      </c>
      <c r="B27" s="29" t="s">
        <v>1954</v>
      </c>
      <c r="C27" s="7" t="s">
        <v>557</v>
      </c>
      <c r="D27" s="31">
        <v>512.81</v>
      </c>
      <c r="E27" s="24"/>
    </row>
    <row r="28" spans="1:5" ht="12.75" outlineLevel="2">
      <c r="A28" s="8" t="s">
        <v>566</v>
      </c>
      <c r="B28" s="29" t="s">
        <v>1954</v>
      </c>
      <c r="C28" s="7" t="s">
        <v>2764</v>
      </c>
      <c r="D28" s="31">
        <f>141.84+757.6</f>
        <v>899.44</v>
      </c>
      <c r="E28" s="24"/>
    </row>
    <row r="29" spans="1:5" ht="12.75" outlineLevel="2">
      <c r="A29" s="8" t="s">
        <v>151</v>
      </c>
      <c r="B29" s="29" t="s">
        <v>1954</v>
      </c>
      <c r="C29" s="7" t="s">
        <v>152</v>
      </c>
      <c r="D29" s="31">
        <v>326</v>
      </c>
      <c r="E29" s="24"/>
    </row>
    <row r="30" spans="1:5" ht="25.5" outlineLevel="2">
      <c r="A30" s="8" t="s">
        <v>172</v>
      </c>
      <c r="B30" s="29" t="s">
        <v>1955</v>
      </c>
      <c r="C30" s="7" t="s">
        <v>173</v>
      </c>
      <c r="D30" s="31">
        <v>3836</v>
      </c>
      <c r="E30" s="24"/>
    </row>
    <row r="31" spans="1:5" ht="12.75" outlineLevel="2">
      <c r="A31" s="8" t="s">
        <v>1003</v>
      </c>
      <c r="B31" s="29" t="s">
        <v>1955</v>
      </c>
      <c r="C31" s="7" t="s">
        <v>1006</v>
      </c>
      <c r="D31" s="31">
        <v>1628</v>
      </c>
      <c r="E31" s="24"/>
    </row>
    <row r="32" spans="1:5" ht="12.75" outlineLevel="2">
      <c r="A32" s="8" t="s">
        <v>373</v>
      </c>
      <c r="B32" s="29" t="s">
        <v>1955</v>
      </c>
      <c r="C32" s="7" t="s">
        <v>374</v>
      </c>
      <c r="D32" s="31">
        <v>94.7</v>
      </c>
      <c r="E32" s="24"/>
    </row>
    <row r="33" spans="1:5" ht="12.75" outlineLevel="2">
      <c r="A33" s="8" t="s">
        <v>425</v>
      </c>
      <c r="B33" s="29" t="s">
        <v>1955</v>
      </c>
      <c r="C33" s="7" t="s">
        <v>424</v>
      </c>
      <c r="D33" s="31">
        <v>21168</v>
      </c>
      <c r="E33" s="24"/>
    </row>
    <row r="34" spans="1:5" ht="12.75" outlineLevel="2">
      <c r="A34" s="8" t="s">
        <v>1930</v>
      </c>
      <c r="B34" s="29" t="s">
        <v>1955</v>
      </c>
      <c r="C34" s="7" t="s">
        <v>424</v>
      </c>
      <c r="D34" s="31">
        <v>4287.89</v>
      </c>
      <c r="E34" s="24"/>
    </row>
    <row r="35" spans="1:5" ht="12.75" outlineLevel="2">
      <c r="A35" s="8" t="s">
        <v>1088</v>
      </c>
      <c r="B35" s="29" t="s">
        <v>1956</v>
      </c>
      <c r="C35" s="7" t="s">
        <v>1089</v>
      </c>
      <c r="D35" s="31">
        <v>32.73</v>
      </c>
      <c r="E35" s="24"/>
    </row>
    <row r="36" spans="1:5" ht="12.75" outlineLevel="2">
      <c r="A36" s="8" t="s">
        <v>2571</v>
      </c>
      <c r="B36" s="29" t="s">
        <v>1957</v>
      </c>
      <c r="C36" s="7" t="s">
        <v>2573</v>
      </c>
      <c r="D36" s="31">
        <v>10.91</v>
      </c>
      <c r="E36" s="24"/>
    </row>
    <row r="37" spans="1:5" ht="12.75" outlineLevel="2">
      <c r="A37" s="55" t="s">
        <v>1827</v>
      </c>
      <c r="B37" s="29" t="s">
        <v>1958</v>
      </c>
      <c r="C37" s="55" t="s">
        <v>1828</v>
      </c>
      <c r="D37" s="31">
        <v>514.88</v>
      </c>
      <c r="E37" s="24"/>
    </row>
    <row r="38" spans="1:5" ht="12.75" outlineLevel="2">
      <c r="A38" s="8" t="s">
        <v>349</v>
      </c>
      <c r="B38" s="29" t="s">
        <v>1958</v>
      </c>
      <c r="C38" s="7" t="s">
        <v>352</v>
      </c>
      <c r="D38" s="31">
        <v>9305</v>
      </c>
      <c r="E38" s="24"/>
    </row>
    <row r="39" spans="1:5" ht="12.75" outlineLevel="2">
      <c r="A39" s="8" t="s">
        <v>890</v>
      </c>
      <c r="B39" s="29" t="s">
        <v>1958</v>
      </c>
      <c r="C39" s="7" t="s">
        <v>891</v>
      </c>
      <c r="D39" s="31">
        <v>2429</v>
      </c>
      <c r="E39" s="24"/>
    </row>
    <row r="40" spans="1:5" ht="12.75" outlineLevel="2">
      <c r="A40" s="8" t="s">
        <v>2512</v>
      </c>
      <c r="B40" s="29" t="s">
        <v>1959</v>
      </c>
      <c r="C40" s="7" t="s">
        <v>2513</v>
      </c>
      <c r="D40" s="31">
        <v>23528</v>
      </c>
      <c r="E40" s="24"/>
    </row>
    <row r="41" spans="1:5" ht="12.75" outlineLevel="2">
      <c r="A41" s="55" t="s">
        <v>381</v>
      </c>
      <c r="B41" s="29" t="s">
        <v>1959</v>
      </c>
      <c r="C41" s="7" t="s">
        <v>382</v>
      </c>
      <c r="D41" s="31">
        <v>6827.32</v>
      </c>
      <c r="E41" s="24"/>
    </row>
    <row r="42" spans="1:5" ht="12.75" outlineLevel="2">
      <c r="A42" s="8" t="s">
        <v>395</v>
      </c>
      <c r="B42" s="29" t="s">
        <v>1959</v>
      </c>
      <c r="C42" s="7" t="s">
        <v>396</v>
      </c>
      <c r="D42" s="31">
        <v>2166.16</v>
      </c>
      <c r="E42" s="24"/>
    </row>
    <row r="43" spans="1:5" ht="12.75" outlineLevel="2">
      <c r="A43" s="8" t="s">
        <v>871</v>
      </c>
      <c r="B43" s="29" t="s">
        <v>1959</v>
      </c>
      <c r="C43" s="7" t="s">
        <v>2727</v>
      </c>
      <c r="D43" s="30">
        <v>5337.41</v>
      </c>
      <c r="E43" s="24"/>
    </row>
    <row r="44" spans="1:5" ht="12.75" outlineLevel="2">
      <c r="A44" s="8" t="s">
        <v>2744</v>
      </c>
      <c r="B44" s="29" t="s">
        <v>1960</v>
      </c>
      <c r="C44" s="7" t="s">
        <v>2745</v>
      </c>
      <c r="D44" s="31">
        <v>2737.8</v>
      </c>
      <c r="E44" s="24"/>
    </row>
    <row r="45" spans="1:5" ht="12.75" outlineLevel="2">
      <c r="A45" s="8" t="s">
        <v>830</v>
      </c>
      <c r="B45" s="29" t="s">
        <v>1960</v>
      </c>
      <c r="C45" s="7" t="s">
        <v>831</v>
      </c>
      <c r="D45" s="31">
        <v>1245.45</v>
      </c>
      <c r="E45" s="24"/>
    </row>
    <row r="46" spans="1:5" ht="12.75" outlineLevel="2">
      <c r="A46" s="8" t="s">
        <v>276</v>
      </c>
      <c r="B46" s="29" t="s">
        <v>1960</v>
      </c>
      <c r="C46" s="7" t="s">
        <v>277</v>
      </c>
      <c r="D46" s="31">
        <v>1457.67</v>
      </c>
      <c r="E46" s="24"/>
    </row>
    <row r="47" spans="1:5" ht="12.75" outlineLevel="2">
      <c r="A47" s="8" t="s">
        <v>197</v>
      </c>
      <c r="B47" s="29" t="s">
        <v>1960</v>
      </c>
      <c r="C47" s="7" t="s">
        <v>198</v>
      </c>
      <c r="D47" s="31">
        <v>10.91</v>
      </c>
      <c r="E47" s="24"/>
    </row>
    <row r="48" spans="1:5" ht="12.75" outlineLevel="2">
      <c r="A48" s="8" t="s">
        <v>201</v>
      </c>
      <c r="B48" s="29" t="s">
        <v>1960</v>
      </c>
      <c r="C48" s="7" t="s">
        <v>202</v>
      </c>
      <c r="D48" s="31">
        <v>10.91</v>
      </c>
      <c r="E48" s="24"/>
    </row>
    <row r="49" spans="1:5" ht="12.75" outlineLevel="2">
      <c r="A49" s="8" t="s">
        <v>213</v>
      </c>
      <c r="B49" s="29" t="s">
        <v>1960</v>
      </c>
      <c r="C49" s="7" t="s">
        <v>963</v>
      </c>
      <c r="D49" s="31">
        <v>21.82</v>
      </c>
      <c r="E49" s="24"/>
    </row>
    <row r="50" spans="1:5" ht="12.75" outlineLevel="2">
      <c r="A50" s="8" t="s">
        <v>966</v>
      </c>
      <c r="B50" s="29" t="s">
        <v>1960</v>
      </c>
      <c r="C50" s="7" t="s">
        <v>967</v>
      </c>
      <c r="D50" s="31">
        <v>21.82</v>
      </c>
      <c r="E50" s="24"/>
    </row>
    <row r="51" spans="1:5" ht="12.75" outlineLevel="2">
      <c r="A51" s="8" t="s">
        <v>339</v>
      </c>
      <c r="B51" s="29" t="s">
        <v>1960</v>
      </c>
      <c r="C51" s="7" t="s">
        <v>340</v>
      </c>
      <c r="D51" s="31">
        <v>10.91</v>
      </c>
      <c r="E51" s="24"/>
    </row>
    <row r="52" spans="1:5" ht="12.75" outlineLevel="2">
      <c r="A52" s="8" t="s">
        <v>944</v>
      </c>
      <c r="B52" s="29" t="s">
        <v>1960</v>
      </c>
      <c r="C52" s="7" t="s">
        <v>917</v>
      </c>
      <c r="D52" s="31">
        <v>3409.2</v>
      </c>
      <c r="E52" s="24"/>
    </row>
    <row r="53" spans="1:5" ht="12.75" outlineLevel="2">
      <c r="A53" s="8" t="s">
        <v>733</v>
      </c>
      <c r="B53" s="29" t="s">
        <v>1961</v>
      </c>
      <c r="C53" s="7" t="s">
        <v>734</v>
      </c>
      <c r="D53" s="31">
        <v>466.25</v>
      </c>
      <c r="E53" s="24"/>
    </row>
    <row r="54" spans="1:5" ht="12.75" outlineLevel="2">
      <c r="A54" s="8" t="s">
        <v>1381</v>
      </c>
      <c r="B54" s="29" t="s">
        <v>1961</v>
      </c>
      <c r="C54" s="7" t="s">
        <v>1380</v>
      </c>
      <c r="D54" s="31">
        <v>2152.58</v>
      </c>
      <c r="E54" s="24"/>
    </row>
    <row r="55" spans="1:5" ht="12.75" outlineLevel="2">
      <c r="A55" s="8" t="s">
        <v>1424</v>
      </c>
      <c r="B55" s="29" t="s">
        <v>1961</v>
      </c>
      <c r="C55" s="7" t="s">
        <v>1425</v>
      </c>
      <c r="D55" s="31">
        <v>657</v>
      </c>
      <c r="E55" s="24"/>
    </row>
    <row r="56" spans="1:5" ht="12.75" outlineLevel="2">
      <c r="A56" s="8" t="s">
        <v>1426</v>
      </c>
      <c r="B56" s="29" t="s">
        <v>1961</v>
      </c>
      <c r="C56" s="7" t="s">
        <v>1427</v>
      </c>
      <c r="D56" s="31">
        <v>6167</v>
      </c>
      <c r="E56" s="24"/>
    </row>
    <row r="57" spans="1:5" ht="12.75" outlineLevel="2">
      <c r="A57" s="8" t="s">
        <v>1086</v>
      </c>
      <c r="B57" s="52" t="s">
        <v>1961</v>
      </c>
      <c r="C57" s="55" t="s">
        <v>1516</v>
      </c>
      <c r="D57" s="31">
        <v>32.73</v>
      </c>
      <c r="E57" s="24"/>
    </row>
    <row r="58" spans="1:5" ht="12.75" outlineLevel="2">
      <c r="A58" s="8" t="s">
        <v>1525</v>
      </c>
      <c r="B58" s="52" t="s">
        <v>1961</v>
      </c>
      <c r="C58" s="55" t="s">
        <v>1516</v>
      </c>
      <c r="D58" s="31">
        <v>10.91</v>
      </c>
      <c r="E58" s="24"/>
    </row>
    <row r="59" spans="1:5" ht="14.25" customHeight="1" outlineLevel="2">
      <c r="A59" s="128" t="s">
        <v>1342</v>
      </c>
      <c r="B59" s="128"/>
      <c r="C59" s="128"/>
      <c r="D59" s="82">
        <f>D60</f>
        <v>24623</v>
      </c>
      <c r="E59" s="24"/>
    </row>
    <row r="60" spans="1:5" ht="12.75" outlineLevel="2">
      <c r="A60" s="7" t="s">
        <v>1175</v>
      </c>
      <c r="B60" s="29" t="s">
        <v>849</v>
      </c>
      <c r="C60" s="7" t="s">
        <v>1176</v>
      </c>
      <c r="D60" s="30">
        <v>24623</v>
      </c>
      <c r="E60" s="24"/>
    </row>
    <row r="61" spans="1:5" ht="12.75" outlineLevel="1">
      <c r="A61" s="117" t="s">
        <v>1340</v>
      </c>
      <c r="B61" s="118"/>
      <c r="C61" s="119"/>
      <c r="D61" s="28">
        <f>SUM(D62:D63)</f>
        <v>1470</v>
      </c>
      <c r="E61" s="24"/>
    </row>
    <row r="62" spans="1:5" ht="12.75" outlineLevel="2">
      <c r="A62" s="9" t="s">
        <v>2692</v>
      </c>
      <c r="B62" s="29" t="s">
        <v>1954</v>
      </c>
      <c r="C62" s="7" t="s">
        <v>2693</v>
      </c>
      <c r="D62" s="30">
        <v>406</v>
      </c>
      <c r="E62" s="24"/>
    </row>
    <row r="63" spans="1:5" ht="12.75" outlineLevel="2">
      <c r="A63" s="9" t="s">
        <v>2695</v>
      </c>
      <c r="B63" s="29" t="s">
        <v>1954</v>
      </c>
      <c r="C63" s="7" t="s">
        <v>2696</v>
      </c>
      <c r="D63" s="30">
        <v>1064</v>
      </c>
      <c r="E63" s="24"/>
    </row>
    <row r="64" spans="1:5" ht="12.75" outlineLevel="1">
      <c r="A64" s="117" t="s">
        <v>1344</v>
      </c>
      <c r="B64" s="118"/>
      <c r="C64" s="119"/>
      <c r="D64" s="28">
        <f>SUM(D65:D76)</f>
        <v>196478.87</v>
      </c>
      <c r="E64" s="24"/>
    </row>
    <row r="65" spans="1:5" ht="12.75" outlineLevel="2">
      <c r="A65" s="7"/>
      <c r="B65" s="29" t="s">
        <v>849</v>
      </c>
      <c r="C65" s="7" t="s">
        <v>1950</v>
      </c>
      <c r="D65" s="30">
        <f>3716.56+3246.11+1928.85+4563.37+1975.89+1223.17</f>
        <v>16653.949999999997</v>
      </c>
      <c r="E65" s="24"/>
    </row>
    <row r="66" spans="1:5" ht="12.75" outlineLevel="2">
      <c r="A66" s="7"/>
      <c r="B66" s="29" t="s">
        <v>1951</v>
      </c>
      <c r="C66" s="7" t="s">
        <v>1950</v>
      </c>
      <c r="D66" s="30">
        <f>3716.56+2596.88+1928.85+4563.37+1975.89+1223.17</f>
        <v>16004.72</v>
      </c>
      <c r="E66" s="24"/>
    </row>
    <row r="67" spans="1:5" ht="12.75" outlineLevel="2">
      <c r="A67" s="7"/>
      <c r="B67" s="29" t="s">
        <v>1952</v>
      </c>
      <c r="C67" s="7" t="s">
        <v>1950</v>
      </c>
      <c r="D67" s="30">
        <f>3716.56+2596.88+1928.85+4563.37+1975.89+1223.17+282.27</f>
        <v>16286.99</v>
      </c>
      <c r="E67" s="24"/>
    </row>
    <row r="68" spans="1:5" ht="12.75" outlineLevel="2">
      <c r="A68" s="7"/>
      <c r="B68" s="29" t="s">
        <v>1953</v>
      </c>
      <c r="C68" s="7" t="s">
        <v>1950</v>
      </c>
      <c r="D68" s="30">
        <f>3716.56+2869.75+6492.21+1881.8+1223.17+282.27</f>
        <v>16465.76</v>
      </c>
      <c r="E68" s="24"/>
    </row>
    <row r="69" spans="1:5" ht="12.75" outlineLevel="2">
      <c r="A69" s="7"/>
      <c r="B69" s="29" t="s">
        <v>1954</v>
      </c>
      <c r="C69" s="7" t="s">
        <v>1950</v>
      </c>
      <c r="D69" s="30">
        <f>3716.56+2493.39+6398.12+1740.67+1176.13+282.27+752.72</f>
        <v>16559.86</v>
      </c>
      <c r="E69" s="24"/>
    </row>
    <row r="70" spans="1:5" ht="12.75" outlineLevel="2">
      <c r="A70" s="7"/>
      <c r="B70" s="29" t="s">
        <v>1955</v>
      </c>
      <c r="C70" s="7" t="s">
        <v>1950</v>
      </c>
      <c r="D70" s="30">
        <f>1858.28+1246.69+3246.11+870.33+588.06</f>
        <v>7809.469999999999</v>
      </c>
      <c r="E70" s="24"/>
    </row>
    <row r="71" spans="1:5" ht="12.75" outlineLevel="2">
      <c r="A71" s="7"/>
      <c r="B71" s="29" t="s">
        <v>1956</v>
      </c>
      <c r="C71" s="7" t="s">
        <v>1950</v>
      </c>
      <c r="D71" s="30">
        <f>4139.96+2775.66+7244.93+1928.85+1317.26</f>
        <v>17406.66</v>
      </c>
      <c r="E71" s="24"/>
    </row>
    <row r="72" spans="1:5" ht="12.75" outlineLevel="2">
      <c r="A72" s="7"/>
      <c r="B72" s="29" t="s">
        <v>1957</v>
      </c>
      <c r="C72" s="7" t="s">
        <v>1950</v>
      </c>
      <c r="D72" s="30">
        <f>4139.96+2775.66+7244.93+1928.85+1317.26</f>
        <v>17406.66</v>
      </c>
      <c r="E72" s="24"/>
    </row>
    <row r="73" spans="1:5" ht="12.75" outlineLevel="2">
      <c r="A73" s="7"/>
      <c r="B73" s="29" t="s">
        <v>1958</v>
      </c>
      <c r="C73" s="7" t="s">
        <v>1950</v>
      </c>
      <c r="D73" s="30">
        <f>4139.96+2775.66+7244.93+1928.85+1317.26</f>
        <v>17406.66</v>
      </c>
      <c r="E73" s="24"/>
    </row>
    <row r="74" spans="1:5" ht="12.75" outlineLevel="2">
      <c r="A74" s="7"/>
      <c r="B74" s="29" t="s">
        <v>1959</v>
      </c>
      <c r="C74" s="7" t="s">
        <v>1950</v>
      </c>
      <c r="D74" s="30">
        <f>4139.96+2775.66+7244.93+1928.85+1317.26</f>
        <v>17406.66</v>
      </c>
      <c r="E74" s="24"/>
    </row>
    <row r="75" spans="1:5" ht="12.75" outlineLevel="2">
      <c r="A75" s="7"/>
      <c r="B75" s="29" t="s">
        <v>1960</v>
      </c>
      <c r="C75" s="7" t="s">
        <v>1950</v>
      </c>
      <c r="D75" s="30">
        <f>4139.96+3622.47+2164.07+5080.86+2211.12+1317.26</f>
        <v>18535.739999999998</v>
      </c>
      <c r="E75" s="24"/>
    </row>
    <row r="76" spans="1:5" ht="12.75" outlineLevel="2">
      <c r="A76" s="11"/>
      <c r="B76" s="29" t="s">
        <v>1961</v>
      </c>
      <c r="C76" s="7" t="s">
        <v>1950</v>
      </c>
      <c r="D76" s="30">
        <f>4139.96+3622.47+2164.07+5080.86+2211.12+1317.26</f>
        <v>18535.739999999998</v>
      </c>
      <c r="E76" s="24"/>
    </row>
    <row r="77" spans="1:5" ht="12.75" outlineLevel="1">
      <c r="A77" s="117" t="s">
        <v>1346</v>
      </c>
      <c r="B77" s="118"/>
      <c r="C77" s="119"/>
      <c r="D77" s="28">
        <f>SUM(D78:D83)</f>
        <v>6843.41</v>
      </c>
      <c r="E77" s="24"/>
    </row>
    <row r="78" spans="1:5" ht="12.75" outlineLevel="2">
      <c r="A78" s="7" t="s">
        <v>2369</v>
      </c>
      <c r="B78" s="29" t="s">
        <v>1952</v>
      </c>
      <c r="C78" s="7" t="s">
        <v>2373</v>
      </c>
      <c r="D78" s="30">
        <v>243.36</v>
      </c>
      <c r="E78" s="24"/>
    </row>
    <row r="79" spans="1:5" ht="25.5" outlineLevel="2">
      <c r="A79" s="7" t="s">
        <v>2396</v>
      </c>
      <c r="B79" s="29" t="s">
        <v>1952</v>
      </c>
      <c r="C79" s="7" t="s">
        <v>2393</v>
      </c>
      <c r="D79" s="30">
        <v>400</v>
      </c>
      <c r="E79" s="24"/>
    </row>
    <row r="80" spans="1:5" ht="25.5" outlineLevel="2">
      <c r="A80" s="7" t="s">
        <v>2396</v>
      </c>
      <c r="B80" s="29" t="s">
        <v>1952</v>
      </c>
      <c r="C80" s="7" t="s">
        <v>2394</v>
      </c>
      <c r="D80" s="30">
        <v>39</v>
      </c>
      <c r="E80" s="24"/>
    </row>
    <row r="81" spans="1:5" ht="25.5" outlineLevel="2">
      <c r="A81" s="7" t="s">
        <v>2396</v>
      </c>
      <c r="B81" s="29" t="s">
        <v>1952</v>
      </c>
      <c r="C81" s="7" t="s">
        <v>2390</v>
      </c>
      <c r="D81" s="30">
        <v>311.11</v>
      </c>
      <c r="E81" s="24"/>
    </row>
    <row r="82" spans="1:5" ht="12.75" outlineLevel="2">
      <c r="A82" s="7" t="s">
        <v>710</v>
      </c>
      <c r="B82" s="29" t="s">
        <v>1957</v>
      </c>
      <c r="C82" s="7" t="s">
        <v>709</v>
      </c>
      <c r="D82" s="30">
        <v>5441</v>
      </c>
      <c r="E82" s="24"/>
    </row>
    <row r="83" spans="1:5" ht="12.75" outlineLevel="2">
      <c r="A83" s="7" t="s">
        <v>1801</v>
      </c>
      <c r="B83" s="29" t="s">
        <v>1958</v>
      </c>
      <c r="C83" s="7" t="s">
        <v>1802</v>
      </c>
      <c r="D83" s="30">
        <v>408.94</v>
      </c>
      <c r="E83" s="24"/>
    </row>
    <row r="84" spans="1:5" ht="12.75" outlineLevel="1">
      <c r="A84" s="117" t="s">
        <v>1341</v>
      </c>
      <c r="B84" s="118"/>
      <c r="C84" s="119"/>
      <c r="D84" s="28">
        <f>SUM(D85:D88)</f>
        <v>8181.15</v>
      </c>
      <c r="E84" s="24"/>
    </row>
    <row r="85" spans="1:5" ht="12.75" outlineLevel="2">
      <c r="A85" s="7" t="s">
        <v>526</v>
      </c>
      <c r="B85" s="29" t="s">
        <v>1952</v>
      </c>
      <c r="C85" s="7" t="s">
        <v>527</v>
      </c>
      <c r="D85" s="30">
        <v>3007</v>
      </c>
      <c r="E85" s="24"/>
    </row>
    <row r="86" spans="1:5" ht="12.75" outlineLevel="2">
      <c r="A86" s="7" t="s">
        <v>1280</v>
      </c>
      <c r="B86" s="29" t="s">
        <v>1954</v>
      </c>
      <c r="C86" s="7" t="s">
        <v>1285</v>
      </c>
      <c r="D86" s="30">
        <v>288</v>
      </c>
      <c r="E86" s="24"/>
    </row>
    <row r="87" spans="1:5" ht="12.75" outlineLevel="2">
      <c r="A87" s="7" t="s">
        <v>2495</v>
      </c>
      <c r="B87" s="29" t="s">
        <v>1959</v>
      </c>
      <c r="C87" s="7" t="s">
        <v>2501</v>
      </c>
      <c r="D87" s="30">
        <v>170.93</v>
      </c>
      <c r="E87" s="24"/>
    </row>
    <row r="88" spans="1:5" ht="12.75" outlineLevel="2">
      <c r="A88" s="7" t="s">
        <v>886</v>
      </c>
      <c r="B88" s="29" t="s">
        <v>1960</v>
      </c>
      <c r="C88" s="7" t="s">
        <v>2026</v>
      </c>
      <c r="D88" s="30">
        <v>4715.22</v>
      </c>
      <c r="E88" s="24"/>
    </row>
    <row r="89" spans="1:5" ht="12.75" outlineLevel="1">
      <c r="A89" s="117" t="s">
        <v>1347</v>
      </c>
      <c r="B89" s="118"/>
      <c r="C89" s="119"/>
      <c r="D89" s="28">
        <f>SUM(D90:D90)</f>
        <v>9734.43</v>
      </c>
      <c r="E89" s="24"/>
    </row>
    <row r="90" spans="1:5" ht="12.75" outlineLevel="2">
      <c r="A90" s="11"/>
      <c r="B90" s="29"/>
      <c r="C90" s="7" t="s">
        <v>239</v>
      </c>
      <c r="D90" s="30">
        <v>9734.43</v>
      </c>
      <c r="E90" s="24"/>
    </row>
    <row r="91" spans="1:5" ht="12.75">
      <c r="A91" s="117" t="s">
        <v>1348</v>
      </c>
      <c r="B91" s="118"/>
      <c r="C91" s="119"/>
      <c r="D91" s="32">
        <f>SUM(D92:D92)</f>
        <v>9974.08</v>
      </c>
      <c r="E91" s="24"/>
    </row>
    <row r="92" spans="1:5" ht="25.5" outlineLevel="1">
      <c r="A92" s="7" t="s">
        <v>1569</v>
      </c>
      <c r="B92" s="29" t="s">
        <v>1961</v>
      </c>
      <c r="C92" s="7" t="s">
        <v>1570</v>
      </c>
      <c r="D92" s="30">
        <v>9974.08</v>
      </c>
      <c r="E92" s="24"/>
    </row>
    <row r="93" spans="1:6" ht="12.75">
      <c r="A93" s="6">
        <v>4736.5</v>
      </c>
      <c r="B93" s="6" t="s">
        <v>1356</v>
      </c>
      <c r="C93" s="37" t="s">
        <v>1345</v>
      </c>
      <c r="D93" s="23">
        <f>(4736.5*6*1.46)+(4736.5*6*1.63)</f>
        <v>87814.70999999999</v>
      </c>
      <c r="E93" s="24"/>
      <c r="F93" s="37" t="s">
        <v>1352</v>
      </c>
    </row>
    <row r="94" spans="1:6" ht="12.75">
      <c r="A94" s="6">
        <v>4736.5</v>
      </c>
      <c r="B94" s="6" t="s">
        <v>1356</v>
      </c>
      <c r="C94" s="37" t="s">
        <v>1357</v>
      </c>
      <c r="D94" s="23">
        <f>(4736.5*6*0.1)+(4736.5*6*0.11)</f>
        <v>5967.99</v>
      </c>
      <c r="E94" s="24"/>
      <c r="F94" s="37" t="s">
        <v>1351</v>
      </c>
    </row>
    <row r="95" spans="1:6" ht="12.75" customHeight="1">
      <c r="A95" s="125" t="s">
        <v>1350</v>
      </c>
      <c r="B95" s="126"/>
      <c r="C95" s="127"/>
      <c r="D95" s="76">
        <f>(4736.5*6*1.57)+(4736.5*6*1.75)</f>
        <v>94351.08</v>
      </c>
      <c r="E95" s="10"/>
      <c r="F95" s="14" t="s">
        <v>788</v>
      </c>
    </row>
    <row r="96" spans="1:6" ht="12.75" customHeight="1">
      <c r="A96" s="125" t="s">
        <v>1362</v>
      </c>
      <c r="B96" s="126"/>
      <c r="C96" s="127"/>
      <c r="D96" s="16">
        <f>10.3*(D98+D99)/100</f>
        <v>127111.5378</v>
      </c>
      <c r="E96" s="10"/>
      <c r="F96" s="14" t="s">
        <v>789</v>
      </c>
    </row>
    <row r="97" spans="1:6" ht="12.75" customHeight="1">
      <c r="A97" s="120" t="s">
        <v>1363</v>
      </c>
      <c r="B97" s="121"/>
      <c r="C97" s="122"/>
      <c r="D97" s="41">
        <f>D96+D95+D6+D3</f>
        <v>766766.8678</v>
      </c>
      <c r="E97" s="48">
        <v>1</v>
      </c>
      <c r="F97" s="14" t="s">
        <v>790</v>
      </c>
    </row>
    <row r="98" spans="1:6" ht="12.75" customHeight="1">
      <c r="A98" s="114" t="s">
        <v>1364</v>
      </c>
      <c r="B98" s="115"/>
      <c r="C98" s="116"/>
      <c r="D98" s="18">
        <v>1076610.02</v>
      </c>
      <c r="E98" s="48">
        <v>2</v>
      </c>
      <c r="F98" s="27"/>
    </row>
    <row r="99" spans="1:6" ht="12.75" customHeight="1">
      <c r="A99" s="114" t="s">
        <v>1365</v>
      </c>
      <c r="B99" s="115"/>
      <c r="C99" s="116"/>
      <c r="D99" s="18">
        <v>157482.58</v>
      </c>
      <c r="E99" s="48">
        <v>3</v>
      </c>
      <c r="F99" s="37" t="s">
        <v>1352</v>
      </c>
    </row>
    <row r="100" spans="1:6" ht="12.75" customHeight="1">
      <c r="A100" s="114" t="s">
        <v>2221</v>
      </c>
      <c r="B100" s="115"/>
      <c r="C100" s="116"/>
      <c r="D100" s="19">
        <f>1194665.4+D98</f>
        <v>2271275.42</v>
      </c>
      <c r="E100" s="48">
        <v>4</v>
      </c>
      <c r="F100" s="37" t="s">
        <v>791</v>
      </c>
    </row>
    <row r="101" spans="1:6" ht="13.5" customHeight="1">
      <c r="A101" s="114" t="s">
        <v>2222</v>
      </c>
      <c r="B101" s="115"/>
      <c r="C101" s="116"/>
      <c r="D101" s="19">
        <f>909735.92+D106</f>
        <v>1768163.9500000002</v>
      </c>
      <c r="E101" s="48">
        <v>5</v>
      </c>
      <c r="F101" s="14" t="s">
        <v>843</v>
      </c>
    </row>
    <row r="102" spans="1:6" ht="25.5" customHeight="1">
      <c r="A102" s="120" t="s">
        <v>2223</v>
      </c>
      <c r="B102" s="121"/>
      <c r="C102" s="122"/>
      <c r="D102" s="42">
        <f>1139957.5+D97</f>
        <v>1906724.3678000001</v>
      </c>
      <c r="E102" s="48">
        <v>6</v>
      </c>
      <c r="F102" s="14" t="s">
        <v>844</v>
      </c>
    </row>
    <row r="103" spans="1:6" ht="12.75" customHeight="1">
      <c r="A103" s="114" t="s">
        <v>2224</v>
      </c>
      <c r="B103" s="115"/>
      <c r="C103" s="116"/>
      <c r="D103" s="19">
        <f>174714.6+D99</f>
        <v>332197.18</v>
      </c>
      <c r="E103" s="48">
        <v>7</v>
      </c>
      <c r="F103" s="14" t="s">
        <v>845</v>
      </c>
    </row>
    <row r="104" spans="1:6" ht="12.75" customHeight="1">
      <c r="A104" s="114" t="s">
        <v>2225</v>
      </c>
      <c r="B104" s="115"/>
      <c r="C104" s="116"/>
      <c r="D104" s="19">
        <f>132985+D107</f>
        <v>258552.72</v>
      </c>
      <c r="E104" s="48">
        <v>8</v>
      </c>
      <c r="F104" s="14" t="s">
        <v>787</v>
      </c>
    </row>
    <row r="105" spans="1:6" ht="12.75" customHeight="1">
      <c r="A105" s="120" t="s">
        <v>2226</v>
      </c>
      <c r="B105" s="121"/>
      <c r="C105" s="122"/>
      <c r="D105" s="42">
        <f>27934.2+D108</f>
        <v>27934.2</v>
      </c>
      <c r="E105" s="48">
        <v>9</v>
      </c>
      <c r="F105" s="14" t="s">
        <v>846</v>
      </c>
    </row>
    <row r="106" spans="1:6" ht="12.75" customHeight="1">
      <c r="A106" s="114" t="s">
        <v>779</v>
      </c>
      <c r="B106" s="115"/>
      <c r="C106" s="116"/>
      <c r="D106" s="18">
        <v>858428.03</v>
      </c>
      <c r="E106" s="48">
        <v>10</v>
      </c>
      <c r="F106" s="14" t="s">
        <v>847</v>
      </c>
    </row>
    <row r="107" spans="1:6" ht="12.75" customHeight="1">
      <c r="A107" s="114" t="s">
        <v>780</v>
      </c>
      <c r="B107" s="115"/>
      <c r="C107" s="116"/>
      <c r="D107" s="18">
        <v>125567.72</v>
      </c>
      <c r="E107" s="48">
        <v>11</v>
      </c>
      <c r="F107" s="14" t="s">
        <v>848</v>
      </c>
    </row>
    <row r="108" spans="1:6" ht="12.75" customHeight="1">
      <c r="A108" s="120" t="s">
        <v>781</v>
      </c>
      <c r="B108" s="121"/>
      <c r="C108" s="122"/>
      <c r="D108" s="41">
        <v>0</v>
      </c>
      <c r="E108" s="48">
        <v>12</v>
      </c>
      <c r="F108" s="43"/>
    </row>
    <row r="109" spans="1:6" ht="27" customHeight="1">
      <c r="A109" s="108" t="s">
        <v>782</v>
      </c>
      <c r="B109" s="109"/>
      <c r="C109" s="110"/>
      <c r="D109" s="26">
        <f>D100-D102</f>
        <v>364551.0521999998</v>
      </c>
      <c r="E109" s="48">
        <v>13</v>
      </c>
      <c r="F109" s="43"/>
    </row>
    <row r="110" spans="1:6" ht="25.5" customHeight="1">
      <c r="A110" s="108" t="s">
        <v>783</v>
      </c>
      <c r="B110" s="109"/>
      <c r="C110" s="110"/>
      <c r="D110" s="26">
        <f>D103-D105</f>
        <v>304262.98</v>
      </c>
      <c r="E110" s="48">
        <v>14</v>
      </c>
      <c r="F110" s="43"/>
    </row>
    <row r="111" spans="1:6" ht="25.5" customHeight="1">
      <c r="A111" s="108" t="s">
        <v>718</v>
      </c>
      <c r="B111" s="109"/>
      <c r="C111" s="110"/>
      <c r="D111" s="26">
        <f>D101-D102</f>
        <v>-138560.41779999994</v>
      </c>
      <c r="E111" s="48">
        <v>15</v>
      </c>
      <c r="F111" s="43"/>
    </row>
    <row r="112" ht="12.75">
      <c r="F112" s="43"/>
    </row>
  </sheetData>
  <sheetProtection/>
  <mergeCells count="29">
    <mergeCell ref="A108:C108"/>
    <mergeCell ref="A64:C64"/>
    <mergeCell ref="A95:C95"/>
    <mergeCell ref="A96:C96"/>
    <mergeCell ref="A97:C97"/>
    <mergeCell ref="A107:C107"/>
    <mergeCell ref="A101:C101"/>
    <mergeCell ref="A102:C102"/>
    <mergeCell ref="A91:C91"/>
    <mergeCell ref="A3:C3"/>
    <mergeCell ref="A4:C4"/>
    <mergeCell ref="A6:C6"/>
    <mergeCell ref="A89:C89"/>
    <mergeCell ref="A84:C84"/>
    <mergeCell ref="A110:C110"/>
    <mergeCell ref="A104:C104"/>
    <mergeCell ref="A103:C103"/>
    <mergeCell ref="A105:C105"/>
    <mergeCell ref="A109:C109"/>
    <mergeCell ref="A1:D1"/>
    <mergeCell ref="A59:C59"/>
    <mergeCell ref="A111:C111"/>
    <mergeCell ref="A7:C7"/>
    <mergeCell ref="A61:C61"/>
    <mergeCell ref="A99:C99"/>
    <mergeCell ref="A100:C100"/>
    <mergeCell ref="A77:C77"/>
    <mergeCell ref="A98:C98"/>
    <mergeCell ref="A106:C106"/>
  </mergeCells>
  <printOptions/>
  <pageMargins left="0.23" right="0.17" top="0.28" bottom="0.25" header="0.17" footer="0.1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2" sqref="H22"/>
    </sheetView>
  </sheetViews>
  <sheetFormatPr defaultColWidth="13.421875" defaultRowHeight="12.75" outlineLevelRow="2"/>
  <cols>
    <col min="1" max="1" width="14.281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11.421875" style="1" customWidth="1"/>
    <col min="7" max="96" width="12.421875" style="1" customWidth="1"/>
    <col min="97" max="16384" width="13.421875" style="1" customWidth="1"/>
  </cols>
  <sheetData>
    <row r="1" spans="1:4" ht="24.75" customHeight="1" thickBot="1">
      <c r="A1" s="135" t="s">
        <v>1598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D4+D43+D46+D49+D62+D75+D83+D84</f>
        <v>236462.62000000002</v>
      </c>
      <c r="E3" s="45"/>
    </row>
    <row r="4" spans="1:5" ht="13.5" outlineLevel="1" thickTop="1">
      <c r="A4" s="111" t="s">
        <v>1354</v>
      </c>
      <c r="B4" s="112"/>
      <c r="C4" s="113"/>
      <c r="D4" s="28">
        <f>SUM(D5:D42)</f>
        <v>64670.77</v>
      </c>
      <c r="E4" s="46"/>
    </row>
    <row r="5" spans="1:5" ht="12.75" outlineLevel="2">
      <c r="A5" s="7" t="s">
        <v>1098</v>
      </c>
      <c r="B5" s="29" t="s">
        <v>849</v>
      </c>
      <c r="C5" s="7" t="s">
        <v>1099</v>
      </c>
      <c r="D5" s="30">
        <v>1284</v>
      </c>
      <c r="E5" s="46"/>
    </row>
    <row r="6" spans="1:5" ht="12.75" outlineLevel="2">
      <c r="A6" s="7" t="s">
        <v>1923</v>
      </c>
      <c r="B6" s="29" t="s">
        <v>849</v>
      </c>
      <c r="C6" s="7" t="s">
        <v>1928</v>
      </c>
      <c r="D6" s="30">
        <v>1357</v>
      </c>
      <c r="E6" s="46"/>
    </row>
    <row r="7" spans="1:5" ht="12.75" outlineLevel="2">
      <c r="A7" s="7" t="s">
        <v>2182</v>
      </c>
      <c r="B7" s="29" t="s">
        <v>849</v>
      </c>
      <c r="C7" s="7" t="s">
        <v>2174</v>
      </c>
      <c r="D7" s="30">
        <v>108.22</v>
      </c>
      <c r="E7" s="46"/>
    </row>
    <row r="8" spans="1:5" ht="12.75" outlineLevel="2">
      <c r="A8" s="51" t="s">
        <v>2207</v>
      </c>
      <c r="B8" s="52" t="s">
        <v>849</v>
      </c>
      <c r="C8" s="51" t="s">
        <v>2200</v>
      </c>
      <c r="D8" s="30">
        <v>94.7</v>
      </c>
      <c r="E8" s="46"/>
    </row>
    <row r="9" spans="1:5" ht="12.75" outlineLevel="2">
      <c r="A9" s="7" t="s">
        <v>34</v>
      </c>
      <c r="B9" s="29" t="s">
        <v>1951</v>
      </c>
      <c r="C9" s="7" t="s">
        <v>35</v>
      </c>
      <c r="D9" s="30">
        <v>1150</v>
      </c>
      <c r="E9" s="46"/>
    </row>
    <row r="10" spans="1:5" ht="12.75" outlineLevel="2">
      <c r="A10" s="7" t="s">
        <v>34</v>
      </c>
      <c r="B10" s="29" t="s">
        <v>1951</v>
      </c>
      <c r="C10" s="7" t="s">
        <v>36</v>
      </c>
      <c r="D10" s="30">
        <v>2180</v>
      </c>
      <c r="E10" s="46"/>
    </row>
    <row r="11" spans="1:5" ht="12.75" outlineLevel="2">
      <c r="A11" s="51" t="s">
        <v>677</v>
      </c>
      <c r="B11" s="52" t="s">
        <v>1951</v>
      </c>
      <c r="C11" s="51" t="s">
        <v>678</v>
      </c>
      <c r="D11" s="30">
        <v>7682</v>
      </c>
      <c r="E11" s="46"/>
    </row>
    <row r="12" spans="1:5" ht="12.75" outlineLevel="2">
      <c r="A12" s="7" t="s">
        <v>476</v>
      </c>
      <c r="B12" s="29" t="s">
        <v>1951</v>
      </c>
      <c r="C12" s="7" t="s">
        <v>477</v>
      </c>
      <c r="D12" s="30">
        <v>336</v>
      </c>
      <c r="E12" s="46"/>
    </row>
    <row r="13" spans="1:5" ht="12.75" outlineLevel="2">
      <c r="A13" s="7" t="s">
        <v>520</v>
      </c>
      <c r="B13" s="29" t="s">
        <v>1952</v>
      </c>
      <c r="C13" s="7" t="s">
        <v>521</v>
      </c>
      <c r="D13" s="30">
        <v>9676</v>
      </c>
      <c r="E13" s="46"/>
    </row>
    <row r="14" spans="1:5" ht="12.75" outlineLevel="2">
      <c r="A14" s="7" t="s">
        <v>555</v>
      </c>
      <c r="B14" s="29" t="s">
        <v>1952</v>
      </c>
      <c r="C14" s="7" t="s">
        <v>2200</v>
      </c>
      <c r="D14" s="30">
        <v>25.93</v>
      </c>
      <c r="E14" s="46"/>
    </row>
    <row r="15" spans="1:5" ht="12.75" outlineLevel="2">
      <c r="A15" s="7" t="s">
        <v>2279</v>
      </c>
      <c r="B15" s="29" t="s">
        <v>1952</v>
      </c>
      <c r="C15" s="7" t="s">
        <v>2200</v>
      </c>
      <c r="D15" s="30">
        <v>8.64</v>
      </c>
      <c r="E15" s="46"/>
    </row>
    <row r="16" spans="1:5" ht="12.75" outlineLevel="2">
      <c r="A16" s="8" t="s">
        <v>2445</v>
      </c>
      <c r="B16" s="29" t="s">
        <v>1953</v>
      </c>
      <c r="C16" s="7" t="s">
        <v>2446</v>
      </c>
      <c r="D16" s="31">
        <v>7496</v>
      </c>
      <c r="E16" s="46"/>
    </row>
    <row r="17" spans="1:5" ht="12.75" outlineLevel="2">
      <c r="A17" s="8" t="s">
        <v>2549</v>
      </c>
      <c r="B17" s="29" t="s">
        <v>1953</v>
      </c>
      <c r="C17" s="7" t="s">
        <v>2550</v>
      </c>
      <c r="D17" s="31">
        <v>5159</v>
      </c>
      <c r="E17" s="46"/>
    </row>
    <row r="18" spans="1:5" ht="12.75" outlineLevel="2">
      <c r="A18" s="8" t="s">
        <v>2453</v>
      </c>
      <c r="B18" s="29" t="s">
        <v>1953</v>
      </c>
      <c r="C18" s="7" t="s">
        <v>2454</v>
      </c>
      <c r="D18" s="31">
        <v>2830</v>
      </c>
      <c r="E18" s="46"/>
    </row>
    <row r="19" spans="1:5" ht="12.75" outlineLevel="2">
      <c r="A19" s="8" t="s">
        <v>1315</v>
      </c>
      <c r="B19" s="29" t="s">
        <v>1953</v>
      </c>
      <c r="C19" s="7" t="s">
        <v>2200</v>
      </c>
      <c r="D19" s="31">
        <v>60.49</v>
      </c>
      <c r="E19" s="46"/>
    </row>
    <row r="20" spans="1:5" ht="12.75" outlineLevel="2">
      <c r="A20" s="8" t="s">
        <v>380</v>
      </c>
      <c r="B20" s="29" t="s">
        <v>1952</v>
      </c>
      <c r="C20" s="8" t="s">
        <v>1326</v>
      </c>
      <c r="D20" s="31">
        <v>189.4</v>
      </c>
      <c r="E20" s="46"/>
    </row>
    <row r="21" spans="1:5" ht="12.75" outlineLevel="2">
      <c r="A21" s="8" t="s">
        <v>398</v>
      </c>
      <c r="B21" s="29" t="s">
        <v>1955</v>
      </c>
      <c r="C21" s="8" t="s">
        <v>374</v>
      </c>
      <c r="D21" s="31">
        <v>94.7</v>
      </c>
      <c r="E21" s="46"/>
    </row>
    <row r="22" spans="1:5" ht="12.75" outlineLevel="2">
      <c r="A22" s="8" t="s">
        <v>1814</v>
      </c>
      <c r="B22" s="29" t="s">
        <v>1958</v>
      </c>
      <c r="C22" s="8" t="s">
        <v>2666</v>
      </c>
      <c r="D22" s="31">
        <v>128.72</v>
      </c>
      <c r="E22" s="46"/>
    </row>
    <row r="23" spans="1:5" ht="12.75" outlineLevel="2">
      <c r="A23" s="55" t="s">
        <v>1836</v>
      </c>
      <c r="B23" s="29" t="s">
        <v>1958</v>
      </c>
      <c r="C23" s="55" t="s">
        <v>1847</v>
      </c>
      <c r="D23" s="31">
        <v>8.64</v>
      </c>
      <c r="E23" s="46"/>
    </row>
    <row r="24" spans="1:5" ht="12.75" outlineLevel="2">
      <c r="A24" s="55" t="s">
        <v>1837</v>
      </c>
      <c r="B24" s="29" t="s">
        <v>1958</v>
      </c>
      <c r="C24" s="55" t="s">
        <v>1845</v>
      </c>
      <c r="D24" s="31">
        <v>8.64</v>
      </c>
      <c r="E24" s="46"/>
    </row>
    <row r="25" spans="1:5" ht="12.75" outlineLevel="2">
      <c r="A25" s="55" t="s">
        <v>1838</v>
      </c>
      <c r="B25" s="29" t="s">
        <v>1958</v>
      </c>
      <c r="C25" s="55" t="s">
        <v>1844</v>
      </c>
      <c r="D25" s="31">
        <v>8.64</v>
      </c>
      <c r="E25" s="46"/>
    </row>
    <row r="26" spans="1:5" ht="12.75" outlineLevel="2">
      <c r="A26" s="55" t="s">
        <v>1839</v>
      </c>
      <c r="B26" s="29" t="s">
        <v>1958</v>
      </c>
      <c r="C26" s="55" t="s">
        <v>1843</v>
      </c>
      <c r="D26" s="31">
        <v>8.64</v>
      </c>
      <c r="E26" s="46"/>
    </row>
    <row r="27" spans="1:5" ht="12.75" outlineLevel="2">
      <c r="A27" s="55" t="s">
        <v>1840</v>
      </c>
      <c r="B27" s="29" t="s">
        <v>1958</v>
      </c>
      <c r="C27" s="55" t="s">
        <v>1846</v>
      </c>
      <c r="D27" s="31">
        <v>8.64</v>
      </c>
      <c r="E27" s="46"/>
    </row>
    <row r="28" spans="1:5" ht="12.75" outlineLevel="2">
      <c r="A28" s="55" t="s">
        <v>1841</v>
      </c>
      <c r="B28" s="29" t="s">
        <v>1958</v>
      </c>
      <c r="C28" s="55" t="s">
        <v>1842</v>
      </c>
      <c r="D28" s="31">
        <v>8.64</v>
      </c>
      <c r="E28" s="46"/>
    </row>
    <row r="29" spans="1:5" ht="12.75" outlineLevel="2">
      <c r="A29" s="8" t="s">
        <v>2728</v>
      </c>
      <c r="B29" s="29" t="s">
        <v>1957</v>
      </c>
      <c r="C29" s="8" t="s">
        <v>1199</v>
      </c>
      <c r="D29" s="16">
        <v>1669.33</v>
      </c>
      <c r="E29" s="46"/>
    </row>
    <row r="30" spans="1:5" ht="12.75" outlineLevel="2">
      <c r="A30" s="55" t="s">
        <v>2139</v>
      </c>
      <c r="B30" s="29" t="s">
        <v>1959</v>
      </c>
      <c r="C30" s="8" t="s">
        <v>2140</v>
      </c>
      <c r="D30" s="31">
        <v>5633</v>
      </c>
      <c r="E30" s="46"/>
    </row>
    <row r="31" spans="1:5" ht="12.75" outlineLevel="2">
      <c r="A31" s="55" t="s">
        <v>10</v>
      </c>
      <c r="B31" s="29" t="s">
        <v>1960</v>
      </c>
      <c r="C31" s="8" t="s">
        <v>1199</v>
      </c>
      <c r="D31" s="31">
        <v>1369.04</v>
      </c>
      <c r="E31" s="46"/>
    </row>
    <row r="32" spans="1:5" ht="25.5" outlineLevel="2">
      <c r="A32" s="55" t="s">
        <v>813</v>
      </c>
      <c r="B32" s="29" t="s">
        <v>1960</v>
      </c>
      <c r="C32" s="8" t="s">
        <v>814</v>
      </c>
      <c r="D32" s="31">
        <v>1579.37</v>
      </c>
      <c r="E32" s="46"/>
    </row>
    <row r="33" spans="1:5" ht="12.75" outlineLevel="2">
      <c r="A33" s="55" t="s">
        <v>938</v>
      </c>
      <c r="B33" s="29" t="s">
        <v>1960</v>
      </c>
      <c r="C33" s="8" t="s">
        <v>924</v>
      </c>
      <c r="D33" s="31">
        <v>2272.8</v>
      </c>
      <c r="E33" s="46"/>
    </row>
    <row r="34" spans="1:5" ht="25.5" outlineLevel="2">
      <c r="A34" s="55" t="s">
        <v>744</v>
      </c>
      <c r="B34" s="29" t="s">
        <v>1961</v>
      </c>
      <c r="C34" s="8" t="s">
        <v>745</v>
      </c>
      <c r="D34" s="31">
        <v>294</v>
      </c>
      <c r="E34" s="46"/>
    </row>
    <row r="35" spans="1:5" ht="12.75" outlineLevel="2">
      <c r="A35" s="55" t="s">
        <v>762</v>
      </c>
      <c r="B35" s="29" t="s">
        <v>1961</v>
      </c>
      <c r="C35" s="8" t="s">
        <v>763</v>
      </c>
      <c r="D35" s="31">
        <v>824</v>
      </c>
      <c r="E35" s="46"/>
    </row>
    <row r="36" spans="1:5" ht="12.75" outlineLevel="2">
      <c r="A36" s="55" t="s">
        <v>1402</v>
      </c>
      <c r="B36" s="52" t="s">
        <v>1961</v>
      </c>
      <c r="C36" s="55" t="s">
        <v>1403</v>
      </c>
      <c r="D36" s="31">
        <v>1338</v>
      </c>
      <c r="E36" s="46"/>
    </row>
    <row r="37" spans="1:5" ht="12.75" outlineLevel="2">
      <c r="A37" s="55" t="s">
        <v>1469</v>
      </c>
      <c r="B37" s="52" t="s">
        <v>1961</v>
      </c>
      <c r="C37" s="55" t="s">
        <v>1470</v>
      </c>
      <c r="D37" s="31">
        <v>1203</v>
      </c>
      <c r="E37" s="46"/>
    </row>
    <row r="38" spans="1:5" ht="25.5" outlineLevel="2">
      <c r="A38" s="55" t="s">
        <v>1505</v>
      </c>
      <c r="B38" s="29" t="s">
        <v>1961</v>
      </c>
      <c r="C38" s="8" t="s">
        <v>1506</v>
      </c>
      <c r="D38" s="31">
        <v>6971.21</v>
      </c>
      <c r="E38" s="46"/>
    </row>
    <row r="39" spans="1:5" ht="12.75" outlineLevel="2">
      <c r="A39" s="8" t="s">
        <v>1538</v>
      </c>
      <c r="B39" s="52" t="s">
        <v>1961</v>
      </c>
      <c r="C39" s="55" t="s">
        <v>1516</v>
      </c>
      <c r="D39" s="16">
        <v>8.64</v>
      </c>
      <c r="E39" s="46"/>
    </row>
    <row r="40" spans="1:5" ht="12.75" outlineLevel="2">
      <c r="A40" s="8" t="s">
        <v>1539</v>
      </c>
      <c r="B40" s="52" t="s">
        <v>1961</v>
      </c>
      <c r="C40" s="55" t="s">
        <v>1516</v>
      </c>
      <c r="D40" s="16">
        <v>8.64</v>
      </c>
      <c r="E40" s="46"/>
    </row>
    <row r="41" spans="1:5" ht="25.5" outlineLevel="2">
      <c r="A41" s="8" t="s">
        <v>1653</v>
      </c>
      <c r="B41" s="29" t="s">
        <v>1961</v>
      </c>
      <c r="C41" s="55" t="s">
        <v>2727</v>
      </c>
      <c r="D41" s="7">
        <v>1566.28</v>
      </c>
      <c r="E41" s="46"/>
    </row>
    <row r="42" spans="1:5" ht="12.75" outlineLevel="2">
      <c r="A42" s="8" t="s">
        <v>1540</v>
      </c>
      <c r="B42" s="52" t="s">
        <v>1961</v>
      </c>
      <c r="C42" s="55" t="s">
        <v>1516</v>
      </c>
      <c r="D42" s="16">
        <v>20.82</v>
      </c>
      <c r="E42" s="46"/>
    </row>
    <row r="43" spans="1:5" ht="12.75" outlineLevel="1">
      <c r="A43" s="117" t="s">
        <v>1340</v>
      </c>
      <c r="B43" s="118"/>
      <c r="C43" s="119"/>
      <c r="D43" s="28">
        <f>SUM(D44:D45)</f>
        <v>671.16</v>
      </c>
      <c r="E43" s="46"/>
    </row>
    <row r="44" spans="1:5" ht="12.75" outlineLevel="2">
      <c r="A44" s="9" t="s">
        <v>2540</v>
      </c>
      <c r="B44" s="29" t="s">
        <v>1953</v>
      </c>
      <c r="C44" s="7" t="s">
        <v>2544</v>
      </c>
      <c r="D44" s="30">
        <v>92</v>
      </c>
      <c r="E44" s="46"/>
    </row>
    <row r="45" spans="1:5" ht="12.75" outlineLevel="2">
      <c r="A45" s="9" t="s">
        <v>1982</v>
      </c>
      <c r="B45" s="29" t="s">
        <v>1959</v>
      </c>
      <c r="C45" s="7" t="s">
        <v>1984</v>
      </c>
      <c r="D45" s="30">
        <v>579.16</v>
      </c>
      <c r="E45" s="46"/>
    </row>
    <row r="46" spans="1:5" ht="12.75" outlineLevel="1">
      <c r="A46" s="117" t="s">
        <v>1342</v>
      </c>
      <c r="B46" s="118"/>
      <c r="C46" s="119"/>
      <c r="D46" s="28">
        <f>SUM(D47:D48)</f>
        <v>28948.62</v>
      </c>
      <c r="E46" s="46"/>
    </row>
    <row r="47" spans="1:5" ht="12.75" outlineLevel="2">
      <c r="A47" s="51" t="s">
        <v>1658</v>
      </c>
      <c r="B47" s="52" t="s">
        <v>1952</v>
      </c>
      <c r="C47" s="51" t="s">
        <v>1659</v>
      </c>
      <c r="D47" s="30">
        <v>10653</v>
      </c>
      <c r="E47" s="46"/>
    </row>
    <row r="48" spans="1:5" ht="12.75" outlineLevel="2">
      <c r="A48" s="7" t="s">
        <v>266</v>
      </c>
      <c r="B48" s="29" t="s">
        <v>1960</v>
      </c>
      <c r="C48" s="7" t="s">
        <v>267</v>
      </c>
      <c r="D48" s="30">
        <v>18295.62</v>
      </c>
      <c r="E48" s="46"/>
    </row>
    <row r="49" spans="1:5" ht="12.75" outlineLevel="1">
      <c r="A49" s="117" t="s">
        <v>1344</v>
      </c>
      <c r="B49" s="118"/>
      <c r="C49" s="119"/>
      <c r="D49" s="28">
        <f>SUM(D50:D61)</f>
        <v>80558.75000000001</v>
      </c>
      <c r="E49" s="46"/>
    </row>
    <row r="50" spans="1:5" ht="12.75" outlineLevel="2">
      <c r="A50" s="7"/>
      <c r="B50" s="29" t="s">
        <v>849</v>
      </c>
      <c r="C50" s="7" t="s">
        <v>1950</v>
      </c>
      <c r="D50" s="30">
        <f>1677.8+1465.42+531.16+1256.65+544.12+491.45</f>
        <v>5966.6</v>
      </c>
      <c r="E50" s="46"/>
    </row>
    <row r="51" spans="1:5" ht="12.75" outlineLevel="2">
      <c r="A51" s="7"/>
      <c r="B51" s="29" t="s">
        <v>1951</v>
      </c>
      <c r="C51" s="7" t="s">
        <v>1950</v>
      </c>
      <c r="D51" s="30">
        <f>1677.8+1465.42+870.76+2060.09+892+552.19</f>
        <v>7518.26</v>
      </c>
      <c r="E51" s="46"/>
    </row>
    <row r="52" spans="1:5" ht="12.75" outlineLevel="2">
      <c r="A52" s="7"/>
      <c r="B52" s="29" t="s">
        <v>1952</v>
      </c>
      <c r="C52" s="7" t="s">
        <v>1950</v>
      </c>
      <c r="D52" s="30">
        <f>1677.8+1465.42+870.76+2060.09+892+552.19</f>
        <v>7518.26</v>
      </c>
      <c r="E52" s="46"/>
    </row>
    <row r="53" spans="1:5" ht="12.75" outlineLevel="2">
      <c r="A53" s="7"/>
      <c r="B53" s="29" t="s">
        <v>1953</v>
      </c>
      <c r="C53" s="7" t="s">
        <v>1950</v>
      </c>
      <c r="D53" s="30">
        <f>838.9+562.81+1465.42+392.9+265.48+63.71</f>
        <v>3589.2200000000003</v>
      </c>
      <c r="E53" s="46"/>
    </row>
    <row r="54" spans="1:5" ht="12.75" outlineLevel="2">
      <c r="A54" s="7"/>
      <c r="B54" s="29" t="s">
        <v>1954</v>
      </c>
      <c r="C54" s="7" t="s">
        <v>1950</v>
      </c>
      <c r="D54" s="30">
        <f>1677.8+1125.61+2888.37+785.81+530.95+127.43+339.81</f>
        <v>7475.780000000001</v>
      </c>
      <c r="E54" s="46"/>
    </row>
    <row r="55" spans="1:5" ht="12.75" outlineLevel="2">
      <c r="A55" s="7"/>
      <c r="B55" s="29" t="s">
        <v>1955</v>
      </c>
      <c r="C55" s="7" t="s">
        <v>1950</v>
      </c>
      <c r="D55" s="30">
        <f>838.9+562.81+1465.42+392.9+265.48</f>
        <v>3525.51</v>
      </c>
      <c r="E55" s="46"/>
    </row>
    <row r="56" spans="1:5" ht="12.75" outlineLevel="2">
      <c r="A56" s="7"/>
      <c r="B56" s="29" t="s">
        <v>1956</v>
      </c>
      <c r="C56" s="7" t="s">
        <v>1950</v>
      </c>
      <c r="D56" s="30">
        <f>1868.94+1253.04+2224.04+492.47+404.37</f>
        <v>6242.860000000001</v>
      </c>
      <c r="E56" s="46"/>
    </row>
    <row r="57" spans="1:5" ht="12.75" outlineLevel="2">
      <c r="A57" s="7"/>
      <c r="B57" s="29" t="s">
        <v>1957</v>
      </c>
      <c r="C57" s="7" t="s">
        <v>1950</v>
      </c>
      <c r="D57" s="30">
        <f>1868.94+1253.04+3270.65+724.22+594.66</f>
        <v>7711.51</v>
      </c>
      <c r="E57" s="46"/>
    </row>
    <row r="58" spans="1:5" ht="12.75" outlineLevel="2">
      <c r="A58" s="7"/>
      <c r="B58" s="29" t="s">
        <v>1958</v>
      </c>
      <c r="C58" s="7" t="s">
        <v>1950</v>
      </c>
      <c r="D58" s="30">
        <f>1868.94+1253.04+3270.65+724.22+594.66</f>
        <v>7711.51</v>
      </c>
      <c r="E58" s="46"/>
    </row>
    <row r="59" spans="1:5" ht="12.75" outlineLevel="2">
      <c r="A59" s="7"/>
      <c r="B59" s="29" t="s">
        <v>1959</v>
      </c>
      <c r="C59" s="7" t="s">
        <v>1950</v>
      </c>
      <c r="D59" s="30">
        <f>1868.94+1253.04+3270.65+724.22+255.71</f>
        <v>7372.56</v>
      </c>
      <c r="E59" s="46"/>
    </row>
    <row r="60" spans="1:5" ht="12.75" outlineLevel="2">
      <c r="A60" s="7"/>
      <c r="B60" s="29" t="s">
        <v>1960</v>
      </c>
      <c r="C60" s="7" t="s">
        <v>1950</v>
      </c>
      <c r="D60" s="30">
        <f>1868.94+1635.33+976.95+2293.7+998.19+594.66</f>
        <v>8367.77</v>
      </c>
      <c r="E60" s="46"/>
    </row>
    <row r="61" spans="1:5" ht="12.75" outlineLevel="2">
      <c r="A61" s="11"/>
      <c r="B61" s="29" t="s">
        <v>1961</v>
      </c>
      <c r="C61" s="7" t="s">
        <v>1950</v>
      </c>
      <c r="D61" s="30">
        <f>1868.94+1308.16+883.91+2064.33+898.37+535.2</f>
        <v>7558.91</v>
      </c>
      <c r="E61" s="46"/>
    </row>
    <row r="62" spans="1:5" ht="12.75" outlineLevel="1">
      <c r="A62" s="117" t="s">
        <v>1346</v>
      </c>
      <c r="B62" s="118"/>
      <c r="C62" s="119"/>
      <c r="D62" s="28">
        <f>SUM(D63:D74)</f>
        <v>11697.73</v>
      </c>
      <c r="E62" s="46"/>
    </row>
    <row r="63" spans="1:5" ht="12.75" outlineLevel="2">
      <c r="A63" s="7" t="s">
        <v>2058</v>
      </c>
      <c r="B63" s="29" t="s">
        <v>849</v>
      </c>
      <c r="C63" s="7" t="s">
        <v>2056</v>
      </c>
      <c r="D63" s="30">
        <v>2400</v>
      </c>
      <c r="E63" s="46"/>
    </row>
    <row r="64" spans="1:5" ht="12.75" outlineLevel="2">
      <c r="A64" s="7" t="s">
        <v>2193</v>
      </c>
      <c r="B64" s="29" t="s">
        <v>849</v>
      </c>
      <c r="C64" s="7" t="s">
        <v>2194</v>
      </c>
      <c r="D64" s="30">
        <v>543.4</v>
      </c>
      <c r="E64" s="46"/>
    </row>
    <row r="65" spans="1:5" ht="12.75" outlineLevel="2">
      <c r="A65" s="51" t="s">
        <v>2196</v>
      </c>
      <c r="B65" s="52" t="s">
        <v>849</v>
      </c>
      <c r="C65" s="51" t="s">
        <v>2197</v>
      </c>
      <c r="D65" s="30">
        <v>2465.22</v>
      </c>
      <c r="E65" s="46"/>
    </row>
    <row r="66" spans="1:5" ht="12.75" outlineLevel="2">
      <c r="A66" s="51" t="s">
        <v>2246</v>
      </c>
      <c r="B66" s="29" t="s">
        <v>1952</v>
      </c>
      <c r="C66" s="7" t="s">
        <v>2388</v>
      </c>
      <c r="D66" s="30">
        <v>300</v>
      </c>
      <c r="E66" s="46"/>
    </row>
    <row r="67" spans="1:5" ht="12.75" outlineLevel="2">
      <c r="A67" s="51" t="s">
        <v>2246</v>
      </c>
      <c r="B67" s="29" t="s">
        <v>1952</v>
      </c>
      <c r="C67" s="7" t="s">
        <v>2389</v>
      </c>
      <c r="D67" s="30">
        <v>29.25</v>
      </c>
      <c r="E67" s="46"/>
    </row>
    <row r="68" spans="1:5" ht="12.75" outlineLevel="2">
      <c r="A68" s="51" t="s">
        <v>2246</v>
      </c>
      <c r="B68" s="29" t="s">
        <v>1952</v>
      </c>
      <c r="C68" s="7" t="s">
        <v>2390</v>
      </c>
      <c r="D68" s="30">
        <v>175</v>
      </c>
      <c r="E68" s="46"/>
    </row>
    <row r="69" spans="1:5" ht="12.75" outlineLevel="2">
      <c r="A69" s="51" t="s">
        <v>2239</v>
      </c>
      <c r="B69" s="29" t="s">
        <v>1952</v>
      </c>
      <c r="C69" s="7" t="s">
        <v>2393</v>
      </c>
      <c r="D69" s="30">
        <v>200</v>
      </c>
      <c r="E69" s="46"/>
    </row>
    <row r="70" spans="1:5" ht="12.75" outlineLevel="2">
      <c r="A70" s="51" t="s">
        <v>2239</v>
      </c>
      <c r="B70" s="29" t="s">
        <v>1952</v>
      </c>
      <c r="C70" s="7" t="s">
        <v>2394</v>
      </c>
      <c r="D70" s="30">
        <v>19.5</v>
      </c>
      <c r="E70" s="46"/>
    </row>
    <row r="71" spans="1:5" ht="12.75" outlineLevel="2">
      <c r="A71" s="51" t="s">
        <v>2239</v>
      </c>
      <c r="B71" s="29" t="s">
        <v>1952</v>
      </c>
      <c r="C71" s="7" t="s">
        <v>2390</v>
      </c>
      <c r="D71" s="30">
        <v>350</v>
      </c>
      <c r="E71" s="46"/>
    </row>
    <row r="72" spans="1:5" ht="12.75" outlineLevel="2">
      <c r="A72" s="7" t="s">
        <v>458</v>
      </c>
      <c r="B72" s="29" t="s">
        <v>1958</v>
      </c>
      <c r="C72" s="7" t="s">
        <v>709</v>
      </c>
      <c r="D72" s="30">
        <v>2982.06</v>
      </c>
      <c r="E72" s="46"/>
    </row>
    <row r="73" spans="1:5" ht="12.75" outlineLevel="2">
      <c r="A73" s="51" t="s">
        <v>220</v>
      </c>
      <c r="B73" s="52" t="s">
        <v>1961</v>
      </c>
      <c r="C73" s="51" t="s">
        <v>221</v>
      </c>
      <c r="D73" s="30">
        <v>233.3</v>
      </c>
      <c r="E73" s="46"/>
    </row>
    <row r="74" spans="1:5" ht="12.75" outlineLevel="2">
      <c r="A74" s="51" t="s">
        <v>1418</v>
      </c>
      <c r="B74" s="52" t="s">
        <v>1961</v>
      </c>
      <c r="C74" s="51" t="s">
        <v>1419</v>
      </c>
      <c r="D74" s="30">
        <v>2000</v>
      </c>
      <c r="E74" s="46"/>
    </row>
    <row r="75" spans="1:5" ht="12.75" outlineLevel="1">
      <c r="A75" s="117" t="s">
        <v>1341</v>
      </c>
      <c r="B75" s="118"/>
      <c r="C75" s="119"/>
      <c r="D75" s="28">
        <f>SUM(D76:D82)</f>
        <v>7003.05</v>
      </c>
      <c r="E75" s="46"/>
    </row>
    <row r="76" spans="1:5" ht="12.75" outlineLevel="2">
      <c r="A76" s="7" t="s">
        <v>858</v>
      </c>
      <c r="B76" s="29" t="s">
        <v>849</v>
      </c>
      <c r="C76" s="7" t="s">
        <v>859</v>
      </c>
      <c r="D76" s="30">
        <v>841</v>
      </c>
      <c r="E76" s="46"/>
    </row>
    <row r="77" spans="1:5" ht="12.75" outlineLevel="2">
      <c r="A77" s="7" t="s">
        <v>1784</v>
      </c>
      <c r="B77" s="29" t="s">
        <v>849</v>
      </c>
      <c r="C77" s="7" t="s">
        <v>1874</v>
      </c>
      <c r="D77" s="30">
        <v>357</v>
      </c>
      <c r="E77" s="46"/>
    </row>
    <row r="78" spans="1:5" ht="12.75" outlineLevel="2">
      <c r="A78" s="7" t="s">
        <v>1892</v>
      </c>
      <c r="B78" s="29" t="s">
        <v>849</v>
      </c>
      <c r="C78" s="7" t="s">
        <v>1891</v>
      </c>
      <c r="D78" s="30">
        <v>1030</v>
      </c>
      <c r="E78" s="46"/>
    </row>
    <row r="79" spans="1:5" ht="12.75" outlineLevel="2">
      <c r="A79" s="51" t="s">
        <v>679</v>
      </c>
      <c r="B79" s="52" t="s">
        <v>1951</v>
      </c>
      <c r="C79" s="51" t="s">
        <v>680</v>
      </c>
      <c r="D79" s="30">
        <v>335</v>
      </c>
      <c r="E79" s="46"/>
    </row>
    <row r="80" spans="1:5" ht="12.75" outlineLevel="2">
      <c r="A80" s="7" t="s">
        <v>23</v>
      </c>
      <c r="B80" s="29" t="s">
        <v>1952</v>
      </c>
      <c r="C80" s="7" t="s">
        <v>27</v>
      </c>
      <c r="D80" s="30">
        <v>299</v>
      </c>
      <c r="E80" s="46"/>
    </row>
    <row r="81" spans="1:5" ht="12.75" outlineLevel="2">
      <c r="A81" s="7" t="s">
        <v>2699</v>
      </c>
      <c r="B81" s="29" t="s">
        <v>1954</v>
      </c>
      <c r="C81" s="7" t="s">
        <v>2702</v>
      </c>
      <c r="D81" s="30">
        <v>482</v>
      </c>
      <c r="E81" s="46"/>
    </row>
    <row r="82" spans="1:5" ht="12.75" outlineLevel="2">
      <c r="A82" s="7" t="s">
        <v>91</v>
      </c>
      <c r="B82" s="29" t="s">
        <v>1960</v>
      </c>
      <c r="C82" s="7" t="s">
        <v>93</v>
      </c>
      <c r="D82" s="30">
        <v>3659.05</v>
      </c>
      <c r="E82" s="46"/>
    </row>
    <row r="83" spans="1:5" ht="12.75">
      <c r="A83" s="6">
        <v>2167.3</v>
      </c>
      <c r="B83" s="6" t="s">
        <v>1356</v>
      </c>
      <c r="C83" s="37" t="s">
        <v>1345</v>
      </c>
      <c r="D83" s="23">
        <f>(2167.3*6*1.46)+(2167.3*6*1.63)</f>
        <v>40181.742</v>
      </c>
      <c r="E83" s="46"/>
    </row>
    <row r="84" spans="1:5" ht="12.75">
      <c r="A84" s="6">
        <v>2167.3</v>
      </c>
      <c r="B84" s="6" t="s">
        <v>1356</v>
      </c>
      <c r="C84" s="37" t="s">
        <v>1357</v>
      </c>
      <c r="D84" s="23">
        <f>(2167.3*6*0.1)+(2167.3*6*0.11)</f>
        <v>2730.7980000000002</v>
      </c>
      <c r="E84" s="46"/>
    </row>
    <row r="85" spans="1:5" ht="12.75" customHeight="1">
      <c r="A85" s="125" t="s">
        <v>1350</v>
      </c>
      <c r="B85" s="126"/>
      <c r="C85" s="127"/>
      <c r="D85" s="67">
        <f>(2167.3*6*1.57)+(2167.3*6*1.75)</f>
        <v>43172.61600000001</v>
      </c>
      <c r="E85" s="48"/>
    </row>
    <row r="86" spans="1:5" ht="12.75" customHeight="1">
      <c r="A86" s="125" t="s">
        <v>1362</v>
      </c>
      <c r="B86" s="126"/>
      <c r="C86" s="127"/>
      <c r="D86" s="16">
        <f>10.3*(D88+D89)/100</f>
        <v>56676.31959000001</v>
      </c>
      <c r="E86" s="48"/>
    </row>
    <row r="87" spans="1:5" ht="12.75" customHeight="1">
      <c r="A87" s="120" t="s">
        <v>1363</v>
      </c>
      <c r="B87" s="121"/>
      <c r="C87" s="122"/>
      <c r="D87" s="41">
        <f>D86+D85+D3</f>
        <v>336311.55559</v>
      </c>
      <c r="E87" s="48">
        <v>1</v>
      </c>
    </row>
    <row r="88" spans="1:5" ht="12.75" customHeight="1">
      <c r="A88" s="114" t="s">
        <v>1364</v>
      </c>
      <c r="B88" s="115"/>
      <c r="C88" s="116"/>
      <c r="D88" s="18">
        <v>479955.2</v>
      </c>
      <c r="E88" s="48">
        <v>2</v>
      </c>
    </row>
    <row r="89" spans="1:5" ht="12.75" customHeight="1">
      <c r="A89" s="114" t="s">
        <v>1365</v>
      </c>
      <c r="B89" s="115"/>
      <c r="C89" s="116"/>
      <c r="D89" s="18">
        <v>70300.33</v>
      </c>
      <c r="E89" s="48">
        <v>3</v>
      </c>
    </row>
    <row r="90" spans="1:5" ht="12.75" customHeight="1">
      <c r="A90" s="114" t="s">
        <v>2221</v>
      </c>
      <c r="B90" s="115"/>
      <c r="C90" s="116"/>
      <c r="D90" s="19">
        <f>551673.55+D88+D91+D92+D93+D94+D95</f>
        <v>1128013.15</v>
      </c>
      <c r="E90" s="48">
        <v>4</v>
      </c>
    </row>
    <row r="91" spans="1:5" ht="25.5" customHeight="1">
      <c r="A91" s="114" t="s">
        <v>617</v>
      </c>
      <c r="B91" s="115"/>
      <c r="C91" s="116"/>
      <c r="D91" s="19">
        <v>18209.4</v>
      </c>
      <c r="E91" s="48"/>
    </row>
    <row r="92" spans="1:5" ht="25.5" customHeight="1">
      <c r="A92" s="114" t="s">
        <v>619</v>
      </c>
      <c r="B92" s="115"/>
      <c r="C92" s="116"/>
      <c r="D92" s="19">
        <v>58642.67</v>
      </c>
      <c r="E92" s="48"/>
    </row>
    <row r="93" spans="1:5" ht="29.25" customHeight="1">
      <c r="A93" s="114" t="s">
        <v>620</v>
      </c>
      <c r="B93" s="115"/>
      <c r="C93" s="116"/>
      <c r="D93" s="19">
        <v>7449.3</v>
      </c>
      <c r="E93" s="48"/>
    </row>
    <row r="94" spans="1:5" ht="29.25" customHeight="1">
      <c r="A94" s="114" t="s">
        <v>623</v>
      </c>
      <c r="B94" s="115"/>
      <c r="C94" s="116"/>
      <c r="D94" s="19">
        <v>5883.18</v>
      </c>
      <c r="E94" s="48"/>
    </row>
    <row r="95" spans="1:5" ht="29.25" customHeight="1">
      <c r="A95" s="114" t="s">
        <v>625</v>
      </c>
      <c r="B95" s="115"/>
      <c r="C95" s="116"/>
      <c r="D95" s="19">
        <v>6199.85</v>
      </c>
      <c r="E95" s="48"/>
    </row>
    <row r="96" spans="1:5" ht="29.25" customHeight="1">
      <c r="A96" s="114" t="s">
        <v>627</v>
      </c>
      <c r="B96" s="115"/>
      <c r="C96" s="116"/>
      <c r="D96" s="19">
        <v>1692.76</v>
      </c>
      <c r="E96" s="48"/>
    </row>
    <row r="97" spans="1:5" ht="13.5" customHeight="1">
      <c r="A97" s="114" t="s">
        <v>2222</v>
      </c>
      <c r="B97" s="115"/>
      <c r="C97" s="116"/>
      <c r="D97" s="19">
        <f>200302.93+D108+D98+D99+D100+D101+D102+D103</f>
        <v>471928.39</v>
      </c>
      <c r="E97" s="48">
        <v>5</v>
      </c>
    </row>
    <row r="98" spans="1:5" ht="27" customHeight="1">
      <c r="A98" s="114" t="s">
        <v>618</v>
      </c>
      <c r="B98" s="115"/>
      <c r="C98" s="116"/>
      <c r="D98" s="19">
        <v>22136.4</v>
      </c>
      <c r="E98" s="48"/>
    </row>
    <row r="99" spans="1:5" ht="27" customHeight="1">
      <c r="A99" s="114" t="s">
        <v>621</v>
      </c>
      <c r="B99" s="115"/>
      <c r="C99" s="116"/>
      <c r="D99" s="19">
        <v>32574.04</v>
      </c>
      <c r="E99" s="48"/>
    </row>
    <row r="100" spans="1:5" ht="15.75" customHeight="1">
      <c r="A100" s="114" t="s">
        <v>622</v>
      </c>
      <c r="B100" s="115"/>
      <c r="C100" s="116"/>
      <c r="D100" s="19">
        <v>7128</v>
      </c>
      <c r="E100" s="48"/>
    </row>
    <row r="101" spans="1:5" ht="25.5" customHeight="1">
      <c r="A101" s="114" t="s">
        <v>624</v>
      </c>
      <c r="B101" s="115"/>
      <c r="C101" s="116"/>
      <c r="D101" s="19">
        <v>0</v>
      </c>
      <c r="E101" s="48"/>
    </row>
    <row r="102" spans="1:5" ht="25.5" customHeight="1">
      <c r="A102" s="114" t="s">
        <v>626</v>
      </c>
      <c r="B102" s="115"/>
      <c r="C102" s="116"/>
      <c r="D102" s="19">
        <v>2705.39</v>
      </c>
      <c r="E102" s="48"/>
    </row>
    <row r="103" spans="1:5" ht="15.75" customHeight="1">
      <c r="A103" s="114" t="s">
        <v>628</v>
      </c>
      <c r="B103" s="115"/>
      <c r="C103" s="116"/>
      <c r="D103" s="19">
        <v>0</v>
      </c>
      <c r="E103" s="48"/>
    </row>
    <row r="104" spans="1:5" ht="25.5" customHeight="1">
      <c r="A104" s="120" t="s">
        <v>2223</v>
      </c>
      <c r="B104" s="121"/>
      <c r="C104" s="122"/>
      <c r="D104" s="42">
        <f>560010.24+D87</f>
        <v>896321.79559</v>
      </c>
      <c r="E104" s="48">
        <v>6</v>
      </c>
    </row>
    <row r="105" spans="1:5" ht="12.75" customHeight="1">
      <c r="A105" s="114" t="s">
        <v>2224</v>
      </c>
      <c r="B105" s="115"/>
      <c r="C105" s="116"/>
      <c r="D105" s="19">
        <f>82761.96+D89</f>
        <v>153062.29</v>
      </c>
      <c r="E105" s="48">
        <v>7</v>
      </c>
    </row>
    <row r="106" spans="1:5" ht="12.75" customHeight="1">
      <c r="A106" s="114" t="s">
        <v>2225</v>
      </c>
      <c r="B106" s="115"/>
      <c r="C106" s="116"/>
      <c r="D106" s="19">
        <f>30743.83+D109</f>
        <v>61075.630000000005</v>
      </c>
      <c r="E106" s="48">
        <v>8</v>
      </c>
    </row>
    <row r="107" spans="1:5" ht="12.75" customHeight="1">
      <c r="A107" s="120" t="s">
        <v>2226</v>
      </c>
      <c r="B107" s="121"/>
      <c r="C107" s="122"/>
      <c r="D107" s="42">
        <f>264754+D110</f>
        <v>264754</v>
      </c>
      <c r="E107" s="48">
        <v>9</v>
      </c>
    </row>
    <row r="108" spans="1:5" ht="12.75" customHeight="1">
      <c r="A108" s="114" t="s">
        <v>779</v>
      </c>
      <c r="B108" s="115"/>
      <c r="C108" s="116"/>
      <c r="D108" s="18">
        <v>207081.63</v>
      </c>
      <c r="E108" s="48">
        <v>10</v>
      </c>
    </row>
    <row r="109" spans="1:5" ht="12.75" customHeight="1">
      <c r="A109" s="114" t="s">
        <v>780</v>
      </c>
      <c r="B109" s="115"/>
      <c r="C109" s="116"/>
      <c r="D109" s="18">
        <v>30331.8</v>
      </c>
      <c r="E109" s="48">
        <v>11</v>
      </c>
    </row>
    <row r="110" spans="1:5" ht="12.75" customHeight="1">
      <c r="A110" s="120" t="s">
        <v>781</v>
      </c>
      <c r="B110" s="121"/>
      <c r="C110" s="122"/>
      <c r="D110" s="41">
        <v>0</v>
      </c>
      <c r="E110" s="48">
        <v>12</v>
      </c>
    </row>
    <row r="111" spans="1:5" ht="27" customHeight="1">
      <c r="A111" s="108" t="s">
        <v>782</v>
      </c>
      <c r="B111" s="109"/>
      <c r="C111" s="110"/>
      <c r="D111" s="26">
        <f>D90-D104</f>
        <v>231691.3544099999</v>
      </c>
      <c r="E111" s="48">
        <v>13</v>
      </c>
    </row>
    <row r="112" spans="1:5" ht="25.5" customHeight="1">
      <c r="A112" s="108" t="s">
        <v>717</v>
      </c>
      <c r="B112" s="109"/>
      <c r="C112" s="110"/>
      <c r="D112" s="26">
        <f>D105-D107</f>
        <v>-111691.70999999999</v>
      </c>
      <c r="E112" s="48">
        <v>14</v>
      </c>
    </row>
    <row r="113" spans="1:5" ht="25.5" customHeight="1">
      <c r="A113" s="108" t="s">
        <v>718</v>
      </c>
      <c r="B113" s="109"/>
      <c r="C113" s="110"/>
      <c r="D113" s="26">
        <f>D97-D104</f>
        <v>-424393.40559</v>
      </c>
      <c r="E113" s="48">
        <v>15</v>
      </c>
    </row>
  </sheetData>
  <sheetProtection/>
  <mergeCells count="37">
    <mergeCell ref="A102:C102"/>
    <mergeCell ref="A96:C96"/>
    <mergeCell ref="A103:C103"/>
    <mergeCell ref="A92:C92"/>
    <mergeCell ref="A93:C93"/>
    <mergeCell ref="A99:C99"/>
    <mergeCell ref="A100:C100"/>
    <mergeCell ref="A94:C94"/>
    <mergeCell ref="A101:C101"/>
    <mergeCell ref="A95:C95"/>
    <mergeCell ref="A104:C104"/>
    <mergeCell ref="A105:C105"/>
    <mergeCell ref="A85:C85"/>
    <mergeCell ref="A86:C86"/>
    <mergeCell ref="A87:C87"/>
    <mergeCell ref="A88:C88"/>
    <mergeCell ref="A89:C89"/>
    <mergeCell ref="A97:C97"/>
    <mergeCell ref="A91:C91"/>
    <mergeCell ref="A98:C98"/>
    <mergeCell ref="A62:C62"/>
    <mergeCell ref="A75:C75"/>
    <mergeCell ref="A1:D1"/>
    <mergeCell ref="A90:C90"/>
    <mergeCell ref="A43:C43"/>
    <mergeCell ref="A46:C46"/>
    <mergeCell ref="A3:C3"/>
    <mergeCell ref="A4:C4"/>
    <mergeCell ref="A49:C49"/>
    <mergeCell ref="A112:C112"/>
    <mergeCell ref="A113:C113"/>
    <mergeCell ref="A106:C106"/>
    <mergeCell ref="A107:C107"/>
    <mergeCell ref="A108:C108"/>
    <mergeCell ref="A109:C109"/>
    <mergeCell ref="A110:C110"/>
    <mergeCell ref="A111:C111"/>
  </mergeCells>
  <printOptions/>
  <pageMargins left="0.19" right="0.17" top="0.59" bottom="0.75" header="0.3" footer="0.3"/>
  <pageSetup horizontalDpi="600" verticalDpi="600" orientation="portrait" paperSize="9" r:id="rId1"/>
  <ignoredErrors>
    <ignoredError sqref="D5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8" sqref="A1:D108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0.75" customHeight="1" thickBot="1">
      <c r="A1" s="135" t="s">
        <v>1599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D4+D6</f>
        <v>679890</v>
      </c>
      <c r="E3" s="45"/>
    </row>
    <row r="4" spans="1:5" ht="12.75" outlineLevel="1">
      <c r="A4" s="117" t="s">
        <v>1354</v>
      </c>
      <c r="B4" s="118"/>
      <c r="C4" s="119"/>
      <c r="D4" s="28">
        <f>SUM(D5:D5)</f>
        <v>82420</v>
      </c>
      <c r="E4" s="46"/>
    </row>
    <row r="5" spans="1:5" ht="12.75" outlineLevel="2">
      <c r="A5" s="7" t="s">
        <v>1684</v>
      </c>
      <c r="B5" s="29" t="s">
        <v>1952</v>
      </c>
      <c r="C5" s="13" t="s">
        <v>1685</v>
      </c>
      <c r="D5" s="30">
        <v>82420</v>
      </c>
      <c r="E5" s="46"/>
    </row>
    <row r="6" spans="1:5" ht="12.75" outlineLevel="1">
      <c r="A6" s="117" t="s">
        <v>1355</v>
      </c>
      <c r="B6" s="118"/>
      <c r="C6" s="119"/>
      <c r="D6" s="28">
        <f>SUM(D7:D7)</f>
        <v>597470</v>
      </c>
      <c r="E6" s="46"/>
    </row>
    <row r="7" spans="1:5" ht="12.75" outlineLevel="2">
      <c r="A7" s="51" t="s">
        <v>57</v>
      </c>
      <c r="B7" s="52" t="s">
        <v>1955</v>
      </c>
      <c r="C7" s="63" t="s">
        <v>58</v>
      </c>
      <c r="D7" s="30">
        <v>597470</v>
      </c>
      <c r="E7" s="46"/>
    </row>
    <row r="8" spans="1:5" ht="13.5" customHeight="1" thickBot="1">
      <c r="A8" s="124" t="s">
        <v>1343</v>
      </c>
      <c r="B8" s="124"/>
      <c r="C8" s="124"/>
      <c r="D8" s="25">
        <f>D9+D46+D51+D54+D67+D76+D85+D87+D88</f>
        <v>540194.58</v>
      </c>
      <c r="E8" s="45"/>
    </row>
    <row r="9" spans="1:5" ht="13.5" outlineLevel="1" thickTop="1">
      <c r="A9" s="111" t="s">
        <v>1354</v>
      </c>
      <c r="B9" s="112"/>
      <c r="C9" s="113"/>
      <c r="D9" s="28">
        <f>SUM(D10:D45)</f>
        <v>154570.14</v>
      </c>
      <c r="E9" s="46"/>
    </row>
    <row r="10" spans="1:5" ht="12.75" outlineLevel="2">
      <c r="A10" s="7" t="s">
        <v>1092</v>
      </c>
      <c r="B10" s="29" t="s">
        <v>849</v>
      </c>
      <c r="C10" s="7" t="s">
        <v>1093</v>
      </c>
      <c r="D10" s="30">
        <v>2032</v>
      </c>
      <c r="E10" s="46"/>
    </row>
    <row r="11" spans="1:5" ht="12.75" outlineLevel="2">
      <c r="A11" s="7" t="s">
        <v>1096</v>
      </c>
      <c r="B11" s="29" t="s">
        <v>849</v>
      </c>
      <c r="C11" s="7" t="s">
        <v>1117</v>
      </c>
      <c r="D11" s="30">
        <v>1606</v>
      </c>
      <c r="E11" s="46"/>
    </row>
    <row r="12" spans="1:5" ht="12.75" outlineLevel="2">
      <c r="A12" s="7" t="s">
        <v>1196</v>
      </c>
      <c r="B12" s="29" t="s">
        <v>849</v>
      </c>
      <c r="C12" s="7" t="s">
        <v>1197</v>
      </c>
      <c r="D12" s="30">
        <v>4753</v>
      </c>
      <c r="E12" s="46"/>
    </row>
    <row r="13" spans="1:5" ht="12.75" outlineLevel="2">
      <c r="A13" s="7" t="s">
        <v>1755</v>
      </c>
      <c r="B13" s="29" t="s">
        <v>849</v>
      </c>
      <c r="C13" s="7" t="s">
        <v>1772</v>
      </c>
      <c r="D13" s="30">
        <v>393</v>
      </c>
      <c r="E13" s="46"/>
    </row>
    <row r="14" spans="1:5" ht="12.75" outlineLevel="2">
      <c r="A14" s="51" t="s">
        <v>2207</v>
      </c>
      <c r="B14" s="52" t="s">
        <v>849</v>
      </c>
      <c r="C14" s="51" t="s">
        <v>2200</v>
      </c>
      <c r="D14" s="30">
        <v>94.7</v>
      </c>
      <c r="E14" s="46"/>
    </row>
    <row r="15" spans="1:5" ht="12.75" outlineLevel="2">
      <c r="A15" s="51" t="s">
        <v>1672</v>
      </c>
      <c r="B15" s="52" t="s">
        <v>1952</v>
      </c>
      <c r="C15" s="51" t="s">
        <v>1673</v>
      </c>
      <c r="D15" s="30">
        <v>11878</v>
      </c>
      <c r="E15" s="46"/>
    </row>
    <row r="16" spans="1:5" ht="12.75" outlineLevel="2">
      <c r="A16" s="7" t="s">
        <v>1680</v>
      </c>
      <c r="B16" s="29" t="s">
        <v>1952</v>
      </c>
      <c r="C16" s="7" t="s">
        <v>1681</v>
      </c>
      <c r="D16" s="30">
        <v>6777</v>
      </c>
      <c r="E16" s="46"/>
    </row>
    <row r="17" spans="1:5" ht="12.75" outlineLevel="2">
      <c r="A17" s="7" t="s">
        <v>2278</v>
      </c>
      <c r="B17" s="29" t="s">
        <v>1952</v>
      </c>
      <c r="C17" s="7" t="s">
        <v>2200</v>
      </c>
      <c r="D17" s="30">
        <v>19.24</v>
      </c>
      <c r="E17" s="46"/>
    </row>
    <row r="18" spans="1:5" ht="12.75" outlineLevel="2">
      <c r="A18" s="7" t="s">
        <v>1317</v>
      </c>
      <c r="B18" s="29" t="s">
        <v>1953</v>
      </c>
      <c r="C18" s="7" t="s">
        <v>2200</v>
      </c>
      <c r="D18" s="30">
        <v>28.86</v>
      </c>
      <c r="E18" s="46"/>
    </row>
    <row r="19" spans="1:5" ht="12.75" outlineLevel="2">
      <c r="A19" s="7" t="s">
        <v>2290</v>
      </c>
      <c r="B19" s="29" t="s">
        <v>1953</v>
      </c>
      <c r="C19" s="7" t="s">
        <v>2293</v>
      </c>
      <c r="D19" s="30">
        <v>3249</v>
      </c>
      <c r="E19" s="46"/>
    </row>
    <row r="20" spans="1:5" ht="12.75" outlineLevel="2">
      <c r="A20" s="7" t="s">
        <v>2416</v>
      </c>
      <c r="B20" s="29" t="s">
        <v>1953</v>
      </c>
      <c r="C20" s="7" t="s">
        <v>2417</v>
      </c>
      <c r="D20" s="30">
        <v>2433</v>
      </c>
      <c r="E20" s="46"/>
    </row>
    <row r="21" spans="1:5" ht="12.75" outlineLevel="2">
      <c r="A21" s="8" t="s">
        <v>2520</v>
      </c>
      <c r="B21" s="29" t="s">
        <v>1953</v>
      </c>
      <c r="C21" s="7" t="s">
        <v>2523</v>
      </c>
      <c r="D21" s="31">
        <v>2612</v>
      </c>
      <c r="E21" s="46"/>
    </row>
    <row r="22" spans="1:5" ht="12.75" outlineLevel="2">
      <c r="A22" s="8" t="s">
        <v>1248</v>
      </c>
      <c r="B22" s="29" t="s">
        <v>1954</v>
      </c>
      <c r="C22" s="7" t="s">
        <v>1249</v>
      </c>
      <c r="D22" s="31">
        <v>13812</v>
      </c>
      <c r="E22" s="46"/>
    </row>
    <row r="23" spans="1:5" ht="12.75" outlineLevel="2">
      <c r="A23" s="8" t="s">
        <v>2797</v>
      </c>
      <c r="B23" s="29" t="s">
        <v>1954</v>
      </c>
      <c r="C23" s="8" t="s">
        <v>1328</v>
      </c>
      <c r="D23" s="31">
        <v>378.8</v>
      </c>
      <c r="E23" s="46"/>
    </row>
    <row r="24" spans="1:5" ht="12.75" outlineLevel="2">
      <c r="A24" s="8" t="s">
        <v>159</v>
      </c>
      <c r="B24" s="29" t="s">
        <v>1955</v>
      </c>
      <c r="C24" s="7" t="s">
        <v>160</v>
      </c>
      <c r="D24" s="31">
        <v>2275</v>
      </c>
      <c r="E24" s="46"/>
    </row>
    <row r="25" spans="1:5" ht="12.75" outlineLevel="2">
      <c r="A25" s="8" t="s">
        <v>163</v>
      </c>
      <c r="B25" s="29" t="s">
        <v>1955</v>
      </c>
      <c r="C25" s="7" t="s">
        <v>164</v>
      </c>
      <c r="D25" s="31">
        <v>8067</v>
      </c>
      <c r="E25" s="46"/>
    </row>
    <row r="26" spans="1:5" ht="12.75" outlineLevel="2">
      <c r="A26" s="8" t="s">
        <v>977</v>
      </c>
      <c r="B26" s="29" t="s">
        <v>1955</v>
      </c>
      <c r="C26" s="7" t="s">
        <v>978</v>
      </c>
      <c r="D26" s="31">
        <v>2524</v>
      </c>
      <c r="E26" s="46"/>
    </row>
    <row r="27" spans="1:5" ht="12.75" outlineLevel="2">
      <c r="A27" s="8" t="s">
        <v>1009</v>
      </c>
      <c r="B27" s="29" t="s">
        <v>1955</v>
      </c>
      <c r="C27" s="7" t="s">
        <v>1010</v>
      </c>
      <c r="D27" s="31">
        <v>2229</v>
      </c>
      <c r="E27" s="46"/>
    </row>
    <row r="28" spans="1:5" ht="12.75" outlineLevel="2">
      <c r="A28" s="8" t="s">
        <v>1038</v>
      </c>
      <c r="B28" s="29" t="s">
        <v>1955</v>
      </c>
      <c r="C28" s="7" t="s">
        <v>1040</v>
      </c>
      <c r="D28" s="31">
        <v>959</v>
      </c>
      <c r="E28" s="46"/>
    </row>
    <row r="29" spans="1:5" ht="12.75" outlineLevel="2">
      <c r="A29" s="8" t="s">
        <v>1768</v>
      </c>
      <c r="B29" s="29" t="s">
        <v>1958</v>
      </c>
      <c r="C29" s="7" t="s">
        <v>438</v>
      </c>
      <c r="D29" s="31">
        <v>19662</v>
      </c>
      <c r="E29" s="46"/>
    </row>
    <row r="30" spans="1:5" ht="12.75" outlineLevel="2">
      <c r="A30" s="8" t="s">
        <v>1820</v>
      </c>
      <c r="B30" s="29" t="s">
        <v>1958</v>
      </c>
      <c r="C30" s="8" t="s">
        <v>2666</v>
      </c>
      <c r="D30" s="31">
        <v>128.72</v>
      </c>
      <c r="E30" s="46"/>
    </row>
    <row r="31" spans="1:5" ht="12.75" outlineLevel="2">
      <c r="A31" s="55" t="s">
        <v>1833</v>
      </c>
      <c r="B31" s="29" t="s">
        <v>1958</v>
      </c>
      <c r="C31" s="55" t="s">
        <v>2666</v>
      </c>
      <c r="D31" s="31">
        <v>386.16</v>
      </c>
      <c r="E31" s="46"/>
    </row>
    <row r="32" spans="1:5" ht="12.75" outlineLevel="2">
      <c r="A32" s="55" t="s">
        <v>1872</v>
      </c>
      <c r="B32" s="29" t="s">
        <v>1958</v>
      </c>
      <c r="C32" s="55" t="s">
        <v>1873</v>
      </c>
      <c r="D32" s="31">
        <v>9.62</v>
      </c>
      <c r="E32" s="46"/>
    </row>
    <row r="33" spans="1:5" ht="12.75" outlineLevel="2">
      <c r="A33" s="55" t="s">
        <v>904</v>
      </c>
      <c r="B33" s="29" t="s">
        <v>1958</v>
      </c>
      <c r="C33" s="55" t="s">
        <v>906</v>
      </c>
      <c r="D33" s="31">
        <v>2816</v>
      </c>
      <c r="E33" s="46"/>
    </row>
    <row r="34" spans="1:5" ht="12.75" outlineLevel="2">
      <c r="A34" s="8" t="s">
        <v>2726</v>
      </c>
      <c r="B34" s="29" t="s">
        <v>1957</v>
      </c>
      <c r="C34" s="8" t="s">
        <v>2727</v>
      </c>
      <c r="D34" s="31">
        <f>2492/2</f>
        <v>1246</v>
      </c>
      <c r="E34" s="46"/>
    </row>
    <row r="35" spans="1:5" ht="12.75" outlineLevel="2">
      <c r="A35" s="8" t="s">
        <v>2137</v>
      </c>
      <c r="B35" s="29" t="s">
        <v>1959</v>
      </c>
      <c r="C35" s="8" t="s">
        <v>2138</v>
      </c>
      <c r="D35" s="31">
        <v>2510</v>
      </c>
      <c r="E35" s="46"/>
    </row>
    <row r="36" spans="1:5" ht="12.75" outlineLevel="2">
      <c r="A36" s="8" t="s">
        <v>1149</v>
      </c>
      <c r="B36" s="29" t="s">
        <v>1959</v>
      </c>
      <c r="C36" s="8" t="s">
        <v>1150</v>
      </c>
      <c r="D36" s="31">
        <v>1674.02</v>
      </c>
      <c r="E36" s="46"/>
    </row>
    <row r="37" spans="1:5" ht="12.75" outlineLevel="2">
      <c r="A37" s="8" t="s">
        <v>2018</v>
      </c>
      <c r="B37" s="29" t="s">
        <v>1960</v>
      </c>
      <c r="C37" s="8" t="s">
        <v>2019</v>
      </c>
      <c r="D37" s="31">
        <v>20278.63</v>
      </c>
      <c r="E37" s="46"/>
    </row>
    <row r="38" spans="1:5" ht="12.75" outlineLevel="2">
      <c r="A38" s="8" t="s">
        <v>10</v>
      </c>
      <c r="B38" s="29" t="s">
        <v>1960</v>
      </c>
      <c r="C38" s="8" t="s">
        <v>2727</v>
      </c>
      <c r="D38" s="31">
        <v>5475.61</v>
      </c>
      <c r="E38" s="46"/>
    </row>
    <row r="39" spans="1:5" ht="12.75" outlineLevel="2">
      <c r="A39" s="55" t="s">
        <v>930</v>
      </c>
      <c r="B39" s="29" t="s">
        <v>1960</v>
      </c>
      <c r="C39" s="55" t="s">
        <v>919</v>
      </c>
      <c r="D39" s="31">
        <v>2272.8</v>
      </c>
      <c r="E39" s="46"/>
    </row>
    <row r="40" spans="1:5" ht="12.75" outlineLevel="2">
      <c r="A40" s="8" t="s">
        <v>755</v>
      </c>
      <c r="B40" s="29" t="s">
        <v>1961</v>
      </c>
      <c r="C40" s="8" t="s">
        <v>756</v>
      </c>
      <c r="D40" s="31">
        <v>1410</v>
      </c>
      <c r="E40" s="46"/>
    </row>
    <row r="41" spans="1:5" ht="12.75" outlineLevel="2">
      <c r="A41" s="8" t="s">
        <v>1398</v>
      </c>
      <c r="B41" s="29" t="s">
        <v>1961</v>
      </c>
      <c r="C41" s="8" t="s">
        <v>1399</v>
      </c>
      <c r="D41" s="31">
        <v>1876</v>
      </c>
      <c r="E41" s="46"/>
    </row>
    <row r="42" spans="1:5" ht="12.75" outlineLevel="2">
      <c r="A42" s="55" t="s">
        <v>1641</v>
      </c>
      <c r="B42" s="29" t="s">
        <v>1961</v>
      </c>
      <c r="C42" s="8" t="s">
        <v>1516</v>
      </c>
      <c r="D42" s="16">
        <v>19.24</v>
      </c>
      <c r="E42" s="46"/>
    </row>
    <row r="43" spans="1:5" ht="25.5" outlineLevel="2">
      <c r="A43" s="55" t="s">
        <v>1642</v>
      </c>
      <c r="B43" s="29" t="s">
        <v>1961</v>
      </c>
      <c r="C43" s="8" t="s">
        <v>1516</v>
      </c>
      <c r="D43" s="7">
        <v>19.24</v>
      </c>
      <c r="E43" s="46"/>
    </row>
    <row r="44" spans="1:5" ht="25.5" outlineLevel="2">
      <c r="A44" s="8" t="s">
        <v>1653</v>
      </c>
      <c r="B44" s="29" t="s">
        <v>1961</v>
      </c>
      <c r="C44" s="55" t="s">
        <v>2727</v>
      </c>
      <c r="D44" s="84">
        <v>6264.54</v>
      </c>
      <c r="E44" s="46"/>
    </row>
    <row r="45" spans="1:5" ht="12.75" outlineLevel="2">
      <c r="A45" s="55" t="s">
        <v>1511</v>
      </c>
      <c r="B45" s="29" t="s">
        <v>1961</v>
      </c>
      <c r="C45" s="8" t="s">
        <v>1512</v>
      </c>
      <c r="D45" s="31">
        <v>22400.96</v>
      </c>
      <c r="E45" s="46"/>
    </row>
    <row r="46" spans="1:5" ht="12.75" outlineLevel="1">
      <c r="A46" s="117" t="s">
        <v>1340</v>
      </c>
      <c r="B46" s="118"/>
      <c r="C46" s="119"/>
      <c r="D46" s="28">
        <f>SUM(D47:D50)</f>
        <v>3777.6</v>
      </c>
      <c r="E46" s="46"/>
    </row>
    <row r="47" spans="1:5" ht="12.75" outlineLevel="2">
      <c r="A47" s="9" t="s">
        <v>126</v>
      </c>
      <c r="B47" s="29" t="s">
        <v>849</v>
      </c>
      <c r="C47" s="7" t="s">
        <v>127</v>
      </c>
      <c r="D47" s="30">
        <v>426</v>
      </c>
      <c r="E47" s="46"/>
    </row>
    <row r="48" spans="1:5" ht="12.75" outlineLevel="2">
      <c r="A48" s="9" t="s">
        <v>128</v>
      </c>
      <c r="B48" s="29" t="s">
        <v>849</v>
      </c>
      <c r="C48" s="7" t="s">
        <v>130</v>
      </c>
      <c r="D48" s="30">
        <v>114</v>
      </c>
      <c r="E48" s="46"/>
    </row>
    <row r="49" spans="1:5" ht="12.75" outlineLevel="2">
      <c r="A49" s="9" t="s">
        <v>1252</v>
      </c>
      <c r="B49" s="29" t="s">
        <v>1954</v>
      </c>
      <c r="C49" s="7" t="s">
        <v>1253</v>
      </c>
      <c r="D49" s="30">
        <v>3049</v>
      </c>
      <c r="E49" s="46"/>
    </row>
    <row r="50" spans="1:5" ht="12.75" outlineLevel="2">
      <c r="A50" s="9" t="s">
        <v>1995</v>
      </c>
      <c r="B50" s="29" t="s">
        <v>1959</v>
      </c>
      <c r="C50" s="7" t="s">
        <v>1997</v>
      </c>
      <c r="D50" s="30">
        <v>188.6</v>
      </c>
      <c r="E50" s="46"/>
    </row>
    <row r="51" spans="1:5" ht="12.75" outlineLevel="1">
      <c r="A51" s="117" t="s">
        <v>1342</v>
      </c>
      <c r="B51" s="118"/>
      <c r="C51" s="119"/>
      <c r="D51" s="28">
        <f>SUM(D52:D52+D53)</f>
        <v>35872.69</v>
      </c>
      <c r="E51" s="46"/>
    </row>
    <row r="52" spans="1:5" ht="12.75" outlineLevel="2">
      <c r="A52" s="7" t="s">
        <v>2682</v>
      </c>
      <c r="B52" s="7" t="s">
        <v>1954</v>
      </c>
      <c r="C52" s="7" t="s">
        <v>2683</v>
      </c>
      <c r="D52" s="16">
        <v>7698</v>
      </c>
      <c r="E52" s="46"/>
    </row>
    <row r="53" spans="1:5" ht="12.75" outlineLevel="2">
      <c r="A53" s="7" t="s">
        <v>1654</v>
      </c>
      <c r="B53" s="7" t="s">
        <v>1961</v>
      </c>
      <c r="C53" s="7" t="s">
        <v>1225</v>
      </c>
      <c r="D53" s="16">
        <v>28174.69</v>
      </c>
      <c r="E53" s="46"/>
    </row>
    <row r="54" spans="1:5" ht="12.75" outlineLevel="1">
      <c r="A54" s="117" t="s">
        <v>1344</v>
      </c>
      <c r="B54" s="118"/>
      <c r="C54" s="119"/>
      <c r="D54" s="28">
        <f>SUM(D55:D66)</f>
        <v>194238.78</v>
      </c>
      <c r="E54" s="46"/>
    </row>
    <row r="55" spans="1:5" ht="12.75" outlineLevel="2">
      <c r="A55" s="7"/>
      <c r="B55" s="29" t="s">
        <v>849</v>
      </c>
      <c r="C55" s="51" t="s">
        <v>1950</v>
      </c>
      <c r="D55" s="30">
        <f>3805+3324.08+1975.18+4672.98+2023.35+1252.55</f>
        <v>17053.14</v>
      </c>
      <c r="E55" s="46"/>
    </row>
    <row r="56" spans="1:5" ht="12.75" outlineLevel="2">
      <c r="A56" s="7"/>
      <c r="B56" s="29" t="s">
        <v>1951</v>
      </c>
      <c r="C56" s="51" t="s">
        <v>1950</v>
      </c>
      <c r="D56" s="30">
        <f>3805.83+3324.08+1975.18+4672.98+2023.35+1252.55</f>
        <v>17053.97</v>
      </c>
      <c r="E56" s="46"/>
    </row>
    <row r="57" spans="1:5" ht="12.75" outlineLevel="2">
      <c r="A57" s="7"/>
      <c r="B57" s="29" t="s">
        <v>1952</v>
      </c>
      <c r="C57" s="51" t="s">
        <v>1950</v>
      </c>
      <c r="D57" s="30">
        <f>3805.83+3324.08+1975.18+4672.98+2023.35+1252.55+289.05</f>
        <v>17343.02</v>
      </c>
      <c r="E57" s="46"/>
    </row>
    <row r="58" spans="1:5" ht="12.75" outlineLevel="2">
      <c r="A58" s="7"/>
      <c r="B58" s="29" t="s">
        <v>1953</v>
      </c>
      <c r="C58" s="51" t="s">
        <v>1950</v>
      </c>
      <c r="D58" s="30">
        <f>3805.83+2938.68+6648.15+1927+1252.55+289.05</f>
        <v>16861.26</v>
      </c>
      <c r="E58" s="46"/>
    </row>
    <row r="59" spans="1:5" ht="12.75" outlineLevel="2">
      <c r="A59" s="7"/>
      <c r="B59" s="29" t="s">
        <v>1954</v>
      </c>
      <c r="C59" s="51" t="s">
        <v>1950</v>
      </c>
      <c r="D59" s="30">
        <f>3805.83+2553.28+6551.8+1782.48+1204.38+260.15</f>
        <v>16157.92</v>
      </c>
      <c r="E59" s="46"/>
    </row>
    <row r="60" spans="1:5" ht="12.75" outlineLevel="2">
      <c r="A60" s="7"/>
      <c r="B60" s="29" t="s">
        <v>1955</v>
      </c>
      <c r="C60" s="51" t="s">
        <v>1950</v>
      </c>
      <c r="D60" s="30">
        <f>1902.91+1276.64+3324.08+891.24+602.19</f>
        <v>7997.0599999999995</v>
      </c>
      <c r="E60" s="46"/>
    </row>
    <row r="61" spans="1:5" ht="12.75" outlineLevel="2">
      <c r="A61" s="7"/>
      <c r="B61" s="29" t="s">
        <v>1956</v>
      </c>
      <c r="C61" s="51" t="s">
        <v>1950</v>
      </c>
      <c r="D61" s="30">
        <f>4239.4+2842.33+7418.95+1642.77+1348.9+6070.05</f>
        <v>23562.4</v>
      </c>
      <c r="E61" s="46"/>
    </row>
    <row r="62" spans="1:5" ht="12.75" outlineLevel="2">
      <c r="A62" s="7"/>
      <c r="B62" s="29" t="s">
        <v>1957</v>
      </c>
      <c r="C62" s="51" t="s">
        <v>1950</v>
      </c>
      <c r="D62" s="30">
        <f>4239.4+2742.33+7418.95+1642.77+1348.9</f>
        <v>17392.350000000002</v>
      </c>
      <c r="E62" s="46"/>
    </row>
    <row r="63" spans="1:5" ht="12.75" outlineLevel="2">
      <c r="A63" s="7"/>
      <c r="B63" s="29" t="s">
        <v>1958</v>
      </c>
      <c r="C63" s="51" t="s">
        <v>1950</v>
      </c>
      <c r="D63" s="20">
        <f>4239.4+2842.33+7418.95+1642.77+1348.9</f>
        <v>17492.350000000002</v>
      </c>
      <c r="E63" s="46"/>
    </row>
    <row r="64" spans="1:5" ht="12.75" outlineLevel="2">
      <c r="A64" s="7"/>
      <c r="B64" s="29" t="s">
        <v>1959</v>
      </c>
      <c r="C64" s="51" t="s">
        <v>1950</v>
      </c>
      <c r="D64" s="30">
        <f>4239.4+2842.33+7418.95+1642.77+580.03</f>
        <v>16723.48</v>
      </c>
      <c r="E64" s="46"/>
    </row>
    <row r="65" spans="1:5" ht="12.75" outlineLevel="2">
      <c r="A65" s="7"/>
      <c r="B65" s="29" t="s">
        <v>1960</v>
      </c>
      <c r="C65" s="51" t="s">
        <v>1950</v>
      </c>
      <c r="D65" s="30">
        <f>1868.94+1635.33+976.95+2293.7+998.19+594.66</f>
        <v>8367.77</v>
      </c>
      <c r="E65" s="46"/>
    </row>
    <row r="66" spans="1:5" ht="12.75" outlineLevel="2">
      <c r="A66" s="11"/>
      <c r="B66" s="29" t="s">
        <v>1961</v>
      </c>
      <c r="C66" s="51" t="s">
        <v>1950</v>
      </c>
      <c r="D66" s="30">
        <f>4239.4+2967.58+2216.05+5202.9+2264.23+1343.9</f>
        <v>18234.06</v>
      </c>
      <c r="E66" s="46"/>
    </row>
    <row r="67" spans="1:5" ht="12.75" outlineLevel="1">
      <c r="A67" s="117" t="s">
        <v>1346</v>
      </c>
      <c r="B67" s="118"/>
      <c r="C67" s="119"/>
      <c r="D67" s="28">
        <f>SUM(D68:D75)</f>
        <v>32227.75</v>
      </c>
      <c r="E67" s="46"/>
    </row>
    <row r="68" spans="1:5" ht="12.75" outlineLevel="2">
      <c r="A68" s="7" t="s">
        <v>2055</v>
      </c>
      <c r="B68" s="29" t="s">
        <v>849</v>
      </c>
      <c r="C68" s="7" t="s">
        <v>2056</v>
      </c>
      <c r="D68" s="30">
        <v>2000</v>
      </c>
      <c r="E68" s="46"/>
    </row>
    <row r="69" spans="1:5" ht="12.75" outlineLevel="2">
      <c r="A69" s="7" t="s">
        <v>2059</v>
      </c>
      <c r="B69" s="29" t="s">
        <v>849</v>
      </c>
      <c r="C69" s="7" t="s">
        <v>2056</v>
      </c>
      <c r="D69" s="30">
        <v>2160</v>
      </c>
      <c r="E69" s="46"/>
    </row>
    <row r="70" spans="1:5" ht="12.75" outlineLevel="2">
      <c r="A70" s="7" t="s">
        <v>2193</v>
      </c>
      <c r="B70" s="29" t="s">
        <v>849</v>
      </c>
      <c r="C70" s="7" t="s">
        <v>2194</v>
      </c>
      <c r="D70" s="30">
        <v>543.4</v>
      </c>
      <c r="E70" s="46"/>
    </row>
    <row r="71" spans="1:5" ht="12.75" outlineLevel="2">
      <c r="A71" s="7" t="s">
        <v>710</v>
      </c>
      <c r="B71" s="29" t="s">
        <v>1957</v>
      </c>
      <c r="C71" s="7" t="s">
        <v>709</v>
      </c>
      <c r="D71" s="30">
        <v>5235</v>
      </c>
      <c r="E71" s="46"/>
    </row>
    <row r="72" spans="1:5" ht="12.75" outlineLevel="2">
      <c r="A72" s="51" t="s">
        <v>1767</v>
      </c>
      <c r="B72" s="29" t="s">
        <v>1958</v>
      </c>
      <c r="C72" s="7" t="s">
        <v>438</v>
      </c>
      <c r="D72" s="30">
        <v>19662</v>
      </c>
      <c r="E72" s="46"/>
    </row>
    <row r="73" spans="1:5" ht="12.75" outlineLevel="2">
      <c r="A73" s="7" t="s">
        <v>1807</v>
      </c>
      <c r="B73" s="29" t="s">
        <v>1958</v>
      </c>
      <c r="C73" s="7" t="s">
        <v>1808</v>
      </c>
      <c r="D73" s="30">
        <v>292.1</v>
      </c>
      <c r="E73" s="46"/>
    </row>
    <row r="74" spans="1:5" ht="12.75" outlineLevel="2">
      <c r="A74" s="51" t="s">
        <v>1418</v>
      </c>
      <c r="B74" s="52" t="s">
        <v>1961</v>
      </c>
      <c r="C74" s="51" t="s">
        <v>1419</v>
      </c>
      <c r="D74" s="30">
        <v>2000</v>
      </c>
      <c r="E74" s="46"/>
    </row>
    <row r="75" spans="1:5" ht="12.75" outlineLevel="2">
      <c r="A75" s="7" t="s">
        <v>1420</v>
      </c>
      <c r="B75" s="29" t="s">
        <v>1961</v>
      </c>
      <c r="C75" s="7" t="s">
        <v>1385</v>
      </c>
      <c r="D75" s="30">
        <v>335.25</v>
      </c>
      <c r="E75" s="46"/>
    </row>
    <row r="76" spans="1:5" ht="12.75" outlineLevel="1">
      <c r="A76" s="117" t="s">
        <v>1341</v>
      </c>
      <c r="B76" s="118"/>
      <c r="C76" s="119"/>
      <c r="D76" s="28">
        <f>SUM(D77:D84)</f>
        <v>16063.12</v>
      </c>
      <c r="E76" s="46"/>
    </row>
    <row r="77" spans="1:5" ht="12.75" outlineLevel="2">
      <c r="A77" s="7" t="s">
        <v>1784</v>
      </c>
      <c r="B77" s="29" t="s">
        <v>849</v>
      </c>
      <c r="C77" s="7" t="s">
        <v>1875</v>
      </c>
      <c r="D77" s="30">
        <v>357</v>
      </c>
      <c r="E77" s="46"/>
    </row>
    <row r="78" spans="1:5" ht="12.75" outlineLevel="2">
      <c r="A78" s="7" t="s">
        <v>1907</v>
      </c>
      <c r="B78" s="29" t="s">
        <v>849</v>
      </c>
      <c r="C78" s="7" t="s">
        <v>1906</v>
      </c>
      <c r="D78" s="30">
        <v>10276</v>
      </c>
      <c r="E78" s="46"/>
    </row>
    <row r="79" spans="1:5" ht="12.75" outlineLevel="2">
      <c r="A79" s="7" t="s">
        <v>512</v>
      </c>
      <c r="B79" s="29" t="s">
        <v>1952</v>
      </c>
      <c r="C79" s="7" t="s">
        <v>513</v>
      </c>
      <c r="D79" s="30">
        <v>582</v>
      </c>
      <c r="E79" s="46"/>
    </row>
    <row r="80" spans="1:5" ht="12.75" outlineLevel="2">
      <c r="A80" s="7" t="s">
        <v>2699</v>
      </c>
      <c r="B80" s="29" t="s">
        <v>1954</v>
      </c>
      <c r="C80" s="7" t="s">
        <v>1255</v>
      </c>
      <c r="D80" s="30">
        <v>482</v>
      </c>
      <c r="E80" s="46"/>
    </row>
    <row r="81" spans="1:5" ht="12.75" outlineLevel="2">
      <c r="A81" s="7" t="s">
        <v>1254</v>
      </c>
      <c r="B81" s="29" t="s">
        <v>1954</v>
      </c>
      <c r="C81" s="7" t="s">
        <v>1256</v>
      </c>
      <c r="D81" s="30">
        <v>936</v>
      </c>
      <c r="E81" s="46"/>
    </row>
    <row r="82" spans="1:5" ht="12.75" outlineLevel="2">
      <c r="A82" s="7" t="s">
        <v>592</v>
      </c>
      <c r="B82" s="29" t="s">
        <v>1954</v>
      </c>
      <c r="C82" s="7" t="s">
        <v>591</v>
      </c>
      <c r="D82" s="30">
        <v>1280</v>
      </c>
      <c r="E82" s="46"/>
    </row>
    <row r="83" spans="1:5" ht="12.75" outlineLevel="2">
      <c r="A83" s="7" t="s">
        <v>2276</v>
      </c>
      <c r="B83" s="29" t="s">
        <v>1954</v>
      </c>
      <c r="C83" s="7" t="s">
        <v>2277</v>
      </c>
      <c r="D83" s="30">
        <v>1280</v>
      </c>
      <c r="E83" s="46"/>
    </row>
    <row r="84" spans="1:5" ht="12.75" outlineLevel="2">
      <c r="A84" s="51" t="s">
        <v>1481</v>
      </c>
      <c r="B84" s="52" t="s">
        <v>1961</v>
      </c>
      <c r="C84" s="51" t="s">
        <v>1482</v>
      </c>
      <c r="D84" s="30">
        <v>870.12</v>
      </c>
      <c r="E84" s="46"/>
    </row>
    <row r="85" spans="1:5" ht="12.75" outlineLevel="1">
      <c r="A85" s="117" t="s">
        <v>1347</v>
      </c>
      <c r="B85" s="118"/>
      <c r="C85" s="119"/>
      <c r="D85" s="28">
        <f>SUM(D86:D86)</f>
        <v>9117.3</v>
      </c>
      <c r="E85" s="46"/>
    </row>
    <row r="86" spans="1:5" ht="12.75" outlineLevel="2">
      <c r="A86" s="11"/>
      <c r="B86" s="29"/>
      <c r="C86" s="7" t="s">
        <v>239</v>
      </c>
      <c r="D86" s="30">
        <v>9117.3</v>
      </c>
      <c r="E86" s="46"/>
    </row>
    <row r="87" spans="1:6" ht="12.75">
      <c r="A87" s="6">
        <v>4764</v>
      </c>
      <c r="B87" s="6" t="s">
        <v>1356</v>
      </c>
      <c r="C87" s="37" t="s">
        <v>1345</v>
      </c>
      <c r="D87" s="23">
        <f>(4764*6*1.46)+(4764*6*1.63)</f>
        <v>88324.56</v>
      </c>
      <c r="E87" s="46"/>
      <c r="F87" s="37" t="s">
        <v>1352</v>
      </c>
    </row>
    <row r="88" spans="1:6" ht="13.5" thickBot="1">
      <c r="A88" s="6">
        <v>4764</v>
      </c>
      <c r="B88" s="6" t="s">
        <v>1356</v>
      </c>
      <c r="C88" s="37" t="s">
        <v>1357</v>
      </c>
      <c r="D88" s="23">
        <f>(4764*6*0.1)+(4764*6*0.11)</f>
        <v>6002.64</v>
      </c>
      <c r="E88" s="46"/>
      <c r="F88" s="37" t="s">
        <v>1351</v>
      </c>
    </row>
    <row r="89" spans="1:6" ht="12.75" customHeight="1" thickTop="1">
      <c r="A89" s="132" t="s">
        <v>1361</v>
      </c>
      <c r="B89" s="133"/>
      <c r="C89" s="134"/>
      <c r="D89" s="67">
        <f>(4764*6*0.94)+(4764*6*1.03)</f>
        <v>56310.479999999996</v>
      </c>
      <c r="E89" s="48"/>
      <c r="F89" s="14" t="s">
        <v>787</v>
      </c>
    </row>
    <row r="90" spans="1:6" ht="12.75" customHeight="1">
      <c r="A90" s="125" t="s">
        <v>1350</v>
      </c>
      <c r="B90" s="126"/>
      <c r="C90" s="127"/>
      <c r="D90" s="67">
        <f>(4764*6*1.57)+(4764*6*1.75)</f>
        <v>94898.88</v>
      </c>
      <c r="E90" s="48"/>
      <c r="F90" s="14" t="s">
        <v>788</v>
      </c>
    </row>
    <row r="91" spans="1:6" ht="12.75" customHeight="1">
      <c r="A91" s="125" t="s">
        <v>1362</v>
      </c>
      <c r="B91" s="126"/>
      <c r="C91" s="127"/>
      <c r="D91" s="16">
        <f>10.3*(D93+D94)/100</f>
        <v>133343.31178000002</v>
      </c>
      <c r="E91" s="48"/>
      <c r="F91" s="14" t="s">
        <v>789</v>
      </c>
    </row>
    <row r="92" spans="1:6" ht="12.75" customHeight="1">
      <c r="A92" s="120" t="s">
        <v>1363</v>
      </c>
      <c r="B92" s="121"/>
      <c r="C92" s="122"/>
      <c r="D92" s="41">
        <f>D91+D90+D89+D8+D3</f>
        <v>1504637.25178</v>
      </c>
      <c r="E92" s="48">
        <v>1</v>
      </c>
      <c r="F92" s="14" t="s">
        <v>790</v>
      </c>
    </row>
    <row r="93" spans="1:6" ht="12.75" customHeight="1">
      <c r="A93" s="114" t="s">
        <v>1364</v>
      </c>
      <c r="B93" s="115"/>
      <c r="C93" s="116"/>
      <c r="D93" s="18">
        <v>1137414.98</v>
      </c>
      <c r="E93" s="48">
        <v>2</v>
      </c>
      <c r="F93" s="27"/>
    </row>
    <row r="94" spans="1:6" ht="12.75" customHeight="1">
      <c r="A94" s="114" t="s">
        <v>1365</v>
      </c>
      <c r="B94" s="115"/>
      <c r="C94" s="116"/>
      <c r="D94" s="18">
        <v>157180.28</v>
      </c>
      <c r="E94" s="48">
        <v>3</v>
      </c>
      <c r="F94" s="37" t="s">
        <v>1352</v>
      </c>
    </row>
    <row r="95" spans="1:6" ht="12.75" customHeight="1">
      <c r="A95" s="114" t="s">
        <v>2221</v>
      </c>
      <c r="B95" s="115"/>
      <c r="C95" s="116"/>
      <c r="D95" s="19">
        <f>1235092.72+D93+D96</f>
        <v>2378358.9000000004</v>
      </c>
      <c r="E95" s="48">
        <v>4</v>
      </c>
      <c r="F95" s="37" t="s">
        <v>791</v>
      </c>
    </row>
    <row r="96" spans="1:6" ht="28.5" customHeight="1">
      <c r="A96" s="114" t="s">
        <v>633</v>
      </c>
      <c r="B96" s="115"/>
      <c r="C96" s="116"/>
      <c r="D96" s="19">
        <v>5851.2</v>
      </c>
      <c r="E96" s="48"/>
      <c r="F96" s="37"/>
    </row>
    <row r="97" spans="1:6" ht="13.5" customHeight="1">
      <c r="A97" s="114" t="s">
        <v>2222</v>
      </c>
      <c r="B97" s="115"/>
      <c r="C97" s="116"/>
      <c r="D97" s="19">
        <f>1063971.25+D103+D98</f>
        <v>2096099.74</v>
      </c>
      <c r="E97" s="48">
        <v>5</v>
      </c>
      <c r="F97" s="14" t="s">
        <v>843</v>
      </c>
    </row>
    <row r="98" spans="1:6" ht="30" customHeight="1">
      <c r="A98" s="114" t="s">
        <v>634</v>
      </c>
      <c r="B98" s="115"/>
      <c r="C98" s="116"/>
      <c r="D98" s="19">
        <v>6069.41</v>
      </c>
      <c r="E98" s="48"/>
      <c r="F98" s="14"/>
    </row>
    <row r="99" spans="1:6" ht="25.5" customHeight="1">
      <c r="A99" s="120" t="s">
        <v>2223</v>
      </c>
      <c r="B99" s="121"/>
      <c r="C99" s="122"/>
      <c r="D99" s="42">
        <f>958030.9+D92</f>
        <v>2462668.15178</v>
      </c>
      <c r="E99" s="48">
        <v>6</v>
      </c>
      <c r="F99" s="14" t="s">
        <v>844</v>
      </c>
    </row>
    <row r="100" spans="1:6" ht="12.75" customHeight="1">
      <c r="A100" s="114" t="s">
        <v>2224</v>
      </c>
      <c r="B100" s="115"/>
      <c r="C100" s="116"/>
      <c r="D100" s="19">
        <f>180077.1+D94</f>
        <v>337257.38</v>
      </c>
      <c r="E100" s="48">
        <v>7</v>
      </c>
      <c r="F100" s="14" t="s">
        <v>845</v>
      </c>
    </row>
    <row r="101" spans="1:6" ht="12.75" customHeight="1">
      <c r="A101" s="114" t="s">
        <v>2225</v>
      </c>
      <c r="B101" s="115"/>
      <c r="C101" s="116"/>
      <c r="D101" s="19">
        <f>148578.6+D104</f>
        <v>290370.52</v>
      </c>
      <c r="E101" s="48">
        <v>8</v>
      </c>
      <c r="F101" s="14" t="s">
        <v>787</v>
      </c>
    </row>
    <row r="102" spans="1:6" ht="12.75" customHeight="1">
      <c r="A102" s="120" t="s">
        <v>2226</v>
      </c>
      <c r="B102" s="121"/>
      <c r="C102" s="122"/>
      <c r="D102" s="42">
        <v>0</v>
      </c>
      <c r="E102" s="48">
        <v>9</v>
      </c>
      <c r="F102" s="14" t="s">
        <v>846</v>
      </c>
    </row>
    <row r="103" spans="1:6" ht="12.75" customHeight="1">
      <c r="A103" s="114" t="s">
        <v>779</v>
      </c>
      <c r="B103" s="115"/>
      <c r="C103" s="116"/>
      <c r="D103" s="18">
        <v>1026059.08</v>
      </c>
      <c r="E103" s="48">
        <v>10</v>
      </c>
      <c r="F103" s="14" t="s">
        <v>847</v>
      </c>
    </row>
    <row r="104" spans="1:6" ht="12.75" customHeight="1">
      <c r="A104" s="114" t="s">
        <v>780</v>
      </c>
      <c r="B104" s="115"/>
      <c r="C104" s="116"/>
      <c r="D104" s="18">
        <v>141791.92</v>
      </c>
      <c r="E104" s="48">
        <v>11</v>
      </c>
      <c r="F104" s="14" t="s">
        <v>848</v>
      </c>
    </row>
    <row r="105" spans="1:6" ht="12.75" customHeight="1">
      <c r="A105" s="120" t="s">
        <v>781</v>
      </c>
      <c r="B105" s="121"/>
      <c r="C105" s="122"/>
      <c r="D105" s="41">
        <v>0</v>
      </c>
      <c r="E105" s="48">
        <v>12</v>
      </c>
      <c r="F105" s="43"/>
    </row>
    <row r="106" spans="1:6" ht="27" customHeight="1">
      <c r="A106" s="108" t="s">
        <v>1625</v>
      </c>
      <c r="B106" s="109"/>
      <c r="C106" s="110"/>
      <c r="D106" s="26">
        <f>D95-D99</f>
        <v>-84309.25177999958</v>
      </c>
      <c r="E106" s="48">
        <v>13</v>
      </c>
      <c r="F106" s="43"/>
    </row>
    <row r="107" spans="1:6" ht="25.5" customHeight="1">
      <c r="A107" s="108" t="s">
        <v>783</v>
      </c>
      <c r="B107" s="109"/>
      <c r="C107" s="110"/>
      <c r="D107" s="26">
        <f>D100-D102</f>
        <v>337257.38</v>
      </c>
      <c r="E107" s="48">
        <v>14</v>
      </c>
      <c r="F107" s="43"/>
    </row>
    <row r="108" spans="1:6" ht="25.5" customHeight="1">
      <c r="A108" s="108" t="s">
        <v>718</v>
      </c>
      <c r="B108" s="109"/>
      <c r="C108" s="110"/>
      <c r="D108" s="26">
        <f>D97-D99</f>
        <v>-366568.41177999997</v>
      </c>
      <c r="E108" s="48">
        <v>15</v>
      </c>
      <c r="F108" s="43"/>
    </row>
    <row r="109" ht="12.75">
      <c r="F109" s="43"/>
    </row>
  </sheetData>
  <sheetProtection/>
  <mergeCells count="32">
    <mergeCell ref="A3:C3"/>
    <mergeCell ref="A4:C4"/>
    <mergeCell ref="A6:C6"/>
    <mergeCell ref="A8:C8"/>
    <mergeCell ref="A93:C93"/>
    <mergeCell ref="A1:D1"/>
    <mergeCell ref="A54:C54"/>
    <mergeCell ref="A67:C67"/>
    <mergeCell ref="A46:C46"/>
    <mergeCell ref="A51:C51"/>
    <mergeCell ref="A9:C9"/>
    <mergeCell ref="A76:C76"/>
    <mergeCell ref="A85:C85"/>
    <mergeCell ref="A90:C90"/>
    <mergeCell ref="A95:C95"/>
    <mergeCell ref="A99:C99"/>
    <mergeCell ref="A100:C100"/>
    <mergeCell ref="A89:C89"/>
    <mergeCell ref="A94:C94"/>
    <mergeCell ref="A97:C97"/>
    <mergeCell ref="A96:C96"/>
    <mergeCell ref="A98:C98"/>
    <mergeCell ref="A91:C91"/>
    <mergeCell ref="A92:C92"/>
    <mergeCell ref="A108:C108"/>
    <mergeCell ref="A101:C101"/>
    <mergeCell ref="A102:C102"/>
    <mergeCell ref="A103:C103"/>
    <mergeCell ref="A104:C104"/>
    <mergeCell ref="A105:C105"/>
    <mergeCell ref="A106:C106"/>
    <mergeCell ref="A107:C107"/>
  </mergeCells>
  <printOptions/>
  <pageMargins left="0.17" right="0.19" top="0.75" bottom="0.17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8" sqref="A1:D108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0.75" customHeight="1" thickBot="1">
      <c r="A1" s="135" t="s">
        <v>1600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274399</v>
      </c>
      <c r="E3" s="45"/>
    </row>
    <row r="4" spans="1:5" ht="12.75" outlineLevel="1">
      <c r="A4" s="117" t="s">
        <v>1355</v>
      </c>
      <c r="B4" s="118"/>
      <c r="C4" s="119"/>
      <c r="D4" s="28">
        <f>SUM(D5:D7)</f>
        <v>274399</v>
      </c>
      <c r="E4" s="46"/>
    </row>
    <row r="5" spans="1:5" ht="12.75" outlineLevel="2">
      <c r="A5" s="51" t="s">
        <v>59</v>
      </c>
      <c r="B5" s="52" t="s">
        <v>1955</v>
      </c>
      <c r="C5" s="63" t="s">
        <v>60</v>
      </c>
      <c r="D5" s="30">
        <v>117308</v>
      </c>
      <c r="E5" s="46"/>
    </row>
    <row r="6" spans="1:5" ht="12.75" outlineLevel="2">
      <c r="A6" s="51" t="s">
        <v>63</v>
      </c>
      <c r="B6" s="52" t="s">
        <v>1956</v>
      </c>
      <c r="C6" s="63" t="s">
        <v>64</v>
      </c>
      <c r="D6" s="30">
        <v>150844</v>
      </c>
      <c r="E6" s="46"/>
    </row>
    <row r="7" spans="1:5" ht="12.75" outlineLevel="2">
      <c r="A7" s="51" t="s">
        <v>73</v>
      </c>
      <c r="B7" s="52" t="s">
        <v>1957</v>
      </c>
      <c r="C7" s="63" t="s">
        <v>74</v>
      </c>
      <c r="D7" s="30">
        <v>6247</v>
      </c>
      <c r="E7" s="46"/>
    </row>
    <row r="8" spans="1:5" ht="13.5" customHeight="1" thickBot="1">
      <c r="A8" s="124" t="s">
        <v>1343</v>
      </c>
      <c r="B8" s="124"/>
      <c r="C8" s="124"/>
      <c r="D8" s="25">
        <f>D9+D53+D55+D68+D76+D87+D89+D90</f>
        <v>512346.1450000001</v>
      </c>
      <c r="E8" s="45"/>
    </row>
    <row r="9" spans="1:5" ht="13.5" outlineLevel="1" thickTop="1">
      <c r="A9" s="111" t="s">
        <v>1354</v>
      </c>
      <c r="B9" s="112"/>
      <c r="C9" s="113"/>
      <c r="D9" s="28">
        <f>SUM(D10:D52)</f>
        <v>193068.99500000005</v>
      </c>
      <c r="E9" s="46"/>
    </row>
    <row r="10" spans="1:5" ht="12.75" outlineLevel="2">
      <c r="A10" s="7" t="s">
        <v>1094</v>
      </c>
      <c r="B10" s="29" t="s">
        <v>849</v>
      </c>
      <c r="C10" s="7" t="s">
        <v>1095</v>
      </c>
      <c r="D10" s="30">
        <v>1366</v>
      </c>
      <c r="E10" s="46"/>
    </row>
    <row r="11" spans="1:5" ht="12.75" outlineLevel="2">
      <c r="A11" s="7" t="s">
        <v>1181</v>
      </c>
      <c r="B11" s="29" t="s">
        <v>849</v>
      </c>
      <c r="C11" s="7" t="s">
        <v>1182</v>
      </c>
      <c r="D11" s="30">
        <v>10262</v>
      </c>
      <c r="E11" s="46"/>
    </row>
    <row r="12" spans="1:5" ht="12.75" outlineLevel="2">
      <c r="A12" s="7" t="s">
        <v>1185</v>
      </c>
      <c r="B12" s="29" t="s">
        <v>849</v>
      </c>
      <c r="C12" s="7" t="s">
        <v>1188</v>
      </c>
      <c r="D12" s="30">
        <v>1318</v>
      </c>
      <c r="E12" s="46"/>
    </row>
    <row r="13" spans="1:5" ht="12.75" outlineLevel="2">
      <c r="A13" s="7" t="s">
        <v>1909</v>
      </c>
      <c r="B13" s="29" t="s">
        <v>849</v>
      </c>
      <c r="C13" s="7" t="s">
        <v>1910</v>
      </c>
      <c r="D13" s="30">
        <v>11197</v>
      </c>
      <c r="E13" s="46"/>
    </row>
    <row r="14" spans="1:5" ht="12.75" outlineLevel="2">
      <c r="A14" s="7" t="s">
        <v>2187</v>
      </c>
      <c r="B14" s="29" t="s">
        <v>849</v>
      </c>
      <c r="C14" s="51" t="s">
        <v>1550</v>
      </c>
      <c r="D14" s="30">
        <v>94.7</v>
      </c>
      <c r="E14" s="46"/>
    </row>
    <row r="15" spans="1:5" ht="12.75" outlineLevel="2">
      <c r="A15" s="51" t="s">
        <v>2182</v>
      </c>
      <c r="B15" s="52" t="s">
        <v>849</v>
      </c>
      <c r="C15" s="51" t="s">
        <v>2200</v>
      </c>
      <c r="D15" s="30">
        <v>94.7</v>
      </c>
      <c r="E15" s="46"/>
    </row>
    <row r="16" spans="1:5" ht="12.75" outlineLevel="2">
      <c r="A16" s="51" t="s">
        <v>2208</v>
      </c>
      <c r="B16" s="52" t="s">
        <v>849</v>
      </c>
      <c r="C16" s="51" t="s">
        <v>2200</v>
      </c>
      <c r="D16" s="30">
        <v>307.77</v>
      </c>
      <c r="E16" s="46"/>
    </row>
    <row r="17" spans="1:5" ht="12.75" outlineLevel="2">
      <c r="A17" s="7" t="s">
        <v>39</v>
      </c>
      <c r="B17" s="29" t="s">
        <v>1951</v>
      </c>
      <c r="C17" s="7" t="s">
        <v>40</v>
      </c>
      <c r="D17" s="30">
        <v>6336</v>
      </c>
      <c r="E17" s="46"/>
    </row>
    <row r="18" spans="1:5" ht="12.75" outlineLevel="2">
      <c r="A18" s="7" t="s">
        <v>2278</v>
      </c>
      <c r="B18" s="29" t="s">
        <v>1952</v>
      </c>
      <c r="C18" s="7" t="s">
        <v>2200</v>
      </c>
      <c r="D18" s="30">
        <v>20.34</v>
      </c>
      <c r="E18" s="46"/>
    </row>
    <row r="19" spans="1:5" ht="12.75" outlineLevel="2">
      <c r="A19" s="7" t="s">
        <v>2376</v>
      </c>
      <c r="B19" s="29" t="s">
        <v>1952</v>
      </c>
      <c r="C19" s="7" t="s">
        <v>2378</v>
      </c>
      <c r="D19" s="30">
        <v>189.4</v>
      </c>
      <c r="E19" s="46"/>
    </row>
    <row r="20" spans="1:5" ht="25.5" outlineLevel="2">
      <c r="A20" s="7" t="s">
        <v>2420</v>
      </c>
      <c r="B20" s="29" t="s">
        <v>1953</v>
      </c>
      <c r="C20" s="7" t="s">
        <v>2421</v>
      </c>
      <c r="D20" s="30">
        <v>10738</v>
      </c>
      <c r="E20" s="46"/>
    </row>
    <row r="21" spans="1:5" ht="12.75" outlineLevel="2">
      <c r="A21" s="8" t="s">
        <v>2557</v>
      </c>
      <c r="B21" s="29" t="s">
        <v>1953</v>
      </c>
      <c r="C21" s="7" t="s">
        <v>1289</v>
      </c>
      <c r="D21" s="31">
        <v>234</v>
      </c>
      <c r="E21" s="46"/>
    </row>
    <row r="22" spans="1:5" ht="12.75" outlineLevel="2">
      <c r="A22" s="8" t="s">
        <v>2326</v>
      </c>
      <c r="B22" s="29" t="s">
        <v>1953</v>
      </c>
      <c r="C22" s="7" t="s">
        <v>1296</v>
      </c>
      <c r="D22" s="31">
        <v>94.7</v>
      </c>
      <c r="E22" s="46"/>
    </row>
    <row r="23" spans="1:5" ht="12.75" outlineLevel="2">
      <c r="A23" s="8" t="s">
        <v>2422</v>
      </c>
      <c r="B23" s="29" t="s">
        <v>1953</v>
      </c>
      <c r="C23" s="7" t="s">
        <v>2426</v>
      </c>
      <c r="D23" s="31">
        <v>1484</v>
      </c>
      <c r="E23" s="46"/>
    </row>
    <row r="24" spans="1:5" ht="12.75" outlineLevel="2">
      <c r="A24" s="8" t="s">
        <v>1317</v>
      </c>
      <c r="B24" s="29" t="s">
        <v>1953</v>
      </c>
      <c r="C24" s="7" t="s">
        <v>666</v>
      </c>
      <c r="D24" s="31">
        <v>20.34</v>
      </c>
      <c r="E24" s="46"/>
    </row>
    <row r="25" spans="1:5" ht="25.5" outlineLevel="2">
      <c r="A25" s="8" t="s">
        <v>2551</v>
      </c>
      <c r="B25" s="29" t="s">
        <v>1953</v>
      </c>
      <c r="C25" s="7" t="s">
        <v>2552</v>
      </c>
      <c r="D25" s="31">
        <v>2386</v>
      </c>
      <c r="E25" s="46"/>
    </row>
    <row r="26" spans="1:5" ht="12.75" outlineLevel="2">
      <c r="A26" s="8" t="s">
        <v>2451</v>
      </c>
      <c r="B26" s="29" t="s">
        <v>1953</v>
      </c>
      <c r="C26" s="7" t="s">
        <v>2452</v>
      </c>
      <c r="D26" s="31">
        <v>5543</v>
      </c>
      <c r="E26" s="46"/>
    </row>
    <row r="27" spans="1:5" ht="12.75" outlineLevel="2">
      <c r="A27" s="8" t="s">
        <v>2711</v>
      </c>
      <c r="B27" s="29" t="s">
        <v>1954</v>
      </c>
      <c r="C27" s="7" t="s">
        <v>2712</v>
      </c>
      <c r="D27" s="31">
        <v>16913</v>
      </c>
      <c r="E27" s="46"/>
    </row>
    <row r="28" spans="1:5" ht="12.75" outlineLevel="2">
      <c r="A28" s="8" t="s">
        <v>2713</v>
      </c>
      <c r="B28" s="29" t="s">
        <v>1954</v>
      </c>
      <c r="C28" s="7" t="s">
        <v>2714</v>
      </c>
      <c r="D28" s="31">
        <v>4426</v>
      </c>
      <c r="E28" s="46"/>
    </row>
    <row r="29" spans="1:5" ht="12.75" outlineLevel="2">
      <c r="A29" s="8" t="s">
        <v>2798</v>
      </c>
      <c r="B29" s="29" t="s">
        <v>1954</v>
      </c>
      <c r="C29" s="8" t="s">
        <v>1328</v>
      </c>
      <c r="D29" s="31">
        <v>378.8</v>
      </c>
      <c r="E29" s="46"/>
    </row>
    <row r="30" spans="1:5" ht="12.75" outlineLevel="2">
      <c r="A30" s="8" t="s">
        <v>1766</v>
      </c>
      <c r="B30" s="29" t="s">
        <v>1958</v>
      </c>
      <c r="C30" s="8" t="s">
        <v>438</v>
      </c>
      <c r="D30" s="31">
        <v>6554</v>
      </c>
      <c r="E30" s="46"/>
    </row>
    <row r="31" spans="1:5" ht="12.75" outlineLevel="2">
      <c r="A31" s="55" t="s">
        <v>1835</v>
      </c>
      <c r="B31" s="29" t="s">
        <v>1958</v>
      </c>
      <c r="C31" s="55" t="s">
        <v>2666</v>
      </c>
      <c r="D31" s="31">
        <v>514.88</v>
      </c>
      <c r="E31" s="46"/>
    </row>
    <row r="32" spans="1:5" ht="12.75" outlineLevel="2">
      <c r="A32" s="55" t="s">
        <v>1858</v>
      </c>
      <c r="B32" s="29" t="s">
        <v>1958</v>
      </c>
      <c r="C32" s="55" t="s">
        <v>1859</v>
      </c>
      <c r="D32" s="31">
        <v>10.17</v>
      </c>
      <c r="E32" s="46"/>
    </row>
    <row r="33" spans="1:5" ht="12.75" outlineLevel="2">
      <c r="A33" s="8" t="s">
        <v>2726</v>
      </c>
      <c r="B33" s="29" t="s">
        <v>1957</v>
      </c>
      <c r="C33" s="8" t="s">
        <v>2727</v>
      </c>
      <c r="D33" s="31">
        <f>2492/2</f>
        <v>1246</v>
      </c>
      <c r="E33" s="46"/>
    </row>
    <row r="34" spans="1:5" ht="12.75" outlineLevel="2">
      <c r="A34" s="8" t="s">
        <v>385</v>
      </c>
      <c r="B34" s="29" t="s">
        <v>1959</v>
      </c>
      <c r="C34" s="8" t="s">
        <v>386</v>
      </c>
      <c r="D34" s="31">
        <v>19443.71</v>
      </c>
      <c r="E34" s="46"/>
    </row>
    <row r="35" spans="1:5" ht="12.75" outlineLevel="2">
      <c r="A35" s="8" t="s">
        <v>2040</v>
      </c>
      <c r="B35" s="29" t="s">
        <v>1960</v>
      </c>
      <c r="C35" s="8" t="s">
        <v>2041</v>
      </c>
      <c r="D35" s="31">
        <v>6816.22</v>
      </c>
      <c r="E35" s="46"/>
    </row>
    <row r="36" spans="1:5" ht="12.75" outlineLevel="2">
      <c r="A36" s="8" t="s">
        <v>2044</v>
      </c>
      <c r="B36" s="29" t="s">
        <v>1960</v>
      </c>
      <c r="C36" s="8" t="s">
        <v>1186</v>
      </c>
      <c r="D36" s="31">
        <v>536.77</v>
      </c>
      <c r="E36" s="46"/>
    </row>
    <row r="37" spans="1:5" ht="12.75" outlineLevel="2">
      <c r="A37" s="8" t="s">
        <v>10</v>
      </c>
      <c r="B37" s="29" t="s">
        <v>1960</v>
      </c>
      <c r="C37" s="8" t="s">
        <v>2727</v>
      </c>
      <c r="D37" s="31">
        <v>5475.61</v>
      </c>
      <c r="E37" s="46"/>
    </row>
    <row r="38" spans="1:5" ht="25.5" outlineLevel="2">
      <c r="A38" s="8" t="s">
        <v>809</v>
      </c>
      <c r="B38" s="29" t="s">
        <v>1960</v>
      </c>
      <c r="C38" s="8" t="s">
        <v>810</v>
      </c>
      <c r="D38" s="31">
        <v>3455.72</v>
      </c>
      <c r="E38" s="46"/>
    </row>
    <row r="39" spans="1:5" ht="12.75" outlineLevel="2">
      <c r="A39" s="8" t="s">
        <v>817</v>
      </c>
      <c r="B39" s="29" t="s">
        <v>1960</v>
      </c>
      <c r="C39" s="8" t="s">
        <v>2727</v>
      </c>
      <c r="D39" s="31">
        <v>4106.83</v>
      </c>
      <c r="E39" s="46"/>
    </row>
    <row r="40" spans="1:5" ht="12.75" outlineLevel="2">
      <c r="A40" s="55" t="s">
        <v>904</v>
      </c>
      <c r="B40" s="29" t="s">
        <v>1958</v>
      </c>
      <c r="C40" s="55" t="s">
        <v>906</v>
      </c>
      <c r="D40" s="31">
        <v>2637</v>
      </c>
      <c r="E40" s="46"/>
    </row>
    <row r="41" spans="1:5" ht="12.75" outlineLevel="2">
      <c r="A41" s="55" t="s">
        <v>904</v>
      </c>
      <c r="B41" s="29" t="s">
        <v>1958</v>
      </c>
      <c r="C41" s="55" t="s">
        <v>910</v>
      </c>
      <c r="D41" s="31">
        <v>1094</v>
      </c>
      <c r="E41" s="46"/>
    </row>
    <row r="42" spans="1:5" ht="12.75" outlineLevel="2">
      <c r="A42" s="8" t="s">
        <v>941</v>
      </c>
      <c r="B42" s="29" t="s">
        <v>1960</v>
      </c>
      <c r="C42" s="8" t="s">
        <v>919</v>
      </c>
      <c r="D42" s="31">
        <v>4545.6</v>
      </c>
      <c r="E42" s="46"/>
    </row>
    <row r="43" spans="1:5" ht="12.75" outlineLevel="2">
      <c r="A43" s="8" t="s">
        <v>742</v>
      </c>
      <c r="B43" s="29" t="s">
        <v>1961</v>
      </c>
      <c r="C43" s="8" t="s">
        <v>743</v>
      </c>
      <c r="D43" s="31">
        <v>346</v>
      </c>
      <c r="E43" s="46"/>
    </row>
    <row r="44" spans="1:5" ht="12.75" outlineLevel="2">
      <c r="A44" s="8" t="s">
        <v>1396</v>
      </c>
      <c r="B44" s="29" t="s">
        <v>1961</v>
      </c>
      <c r="C44" s="8" t="s">
        <v>1397</v>
      </c>
      <c r="D44" s="31">
        <v>1841.59</v>
      </c>
      <c r="E44" s="46"/>
    </row>
    <row r="45" spans="1:5" ht="25.5" outlineLevel="2">
      <c r="A45" s="8" t="s">
        <v>1432</v>
      </c>
      <c r="B45" s="29" t="s">
        <v>1961</v>
      </c>
      <c r="C45" s="8" t="s">
        <v>1433</v>
      </c>
      <c r="D45" s="31">
        <v>16764</v>
      </c>
      <c r="E45" s="46"/>
    </row>
    <row r="46" spans="1:5" ht="12.75" outlineLevel="2">
      <c r="A46" s="55" t="s">
        <v>1441</v>
      </c>
      <c r="B46" s="52" t="s">
        <v>1961</v>
      </c>
      <c r="C46" s="55" t="s">
        <v>1442</v>
      </c>
      <c r="D46" s="31">
        <v>31242</v>
      </c>
      <c r="E46" s="46"/>
    </row>
    <row r="47" spans="1:5" ht="12.75" outlineLevel="2">
      <c r="A47" s="55" t="s">
        <v>1477</v>
      </c>
      <c r="B47" s="52" t="s">
        <v>1961</v>
      </c>
      <c r="C47" s="55" t="s">
        <v>1478</v>
      </c>
      <c r="D47" s="31">
        <v>6394</v>
      </c>
      <c r="E47" s="46"/>
    </row>
    <row r="48" spans="1:5" ht="25.5" outlineLevel="2">
      <c r="A48" s="8" t="s">
        <v>1518</v>
      </c>
      <c r="B48" s="52" t="s">
        <v>1961</v>
      </c>
      <c r="C48" s="55" t="s">
        <v>1516</v>
      </c>
      <c r="D48" s="31">
        <v>30.51</v>
      </c>
      <c r="E48" s="46"/>
    </row>
    <row r="49" spans="1:5" ht="25.5" outlineLevel="2">
      <c r="A49" s="8" t="s">
        <v>1628</v>
      </c>
      <c r="B49" s="52" t="s">
        <v>1961</v>
      </c>
      <c r="C49" s="55" t="s">
        <v>1516</v>
      </c>
      <c r="D49" s="31">
        <v>20.34</v>
      </c>
      <c r="E49" s="46"/>
    </row>
    <row r="50" spans="1:5" ht="25.5" outlineLevel="2">
      <c r="A50" s="8" t="s">
        <v>1643</v>
      </c>
      <c r="B50" s="52" t="s">
        <v>1961</v>
      </c>
      <c r="C50" s="55" t="s">
        <v>1516</v>
      </c>
      <c r="D50" s="31">
        <v>233.89</v>
      </c>
      <c r="E50" s="46"/>
    </row>
    <row r="51" spans="1:5" ht="25.5" outlineLevel="2">
      <c r="A51" s="8" t="s">
        <v>1653</v>
      </c>
      <c r="B51" s="29" t="s">
        <v>1961</v>
      </c>
      <c r="C51" s="55" t="s">
        <v>2727</v>
      </c>
      <c r="D51" s="84">
        <v>6264.54</v>
      </c>
      <c r="E51" s="46"/>
    </row>
    <row r="52" spans="1:5" ht="25.5" outlineLevel="2">
      <c r="A52" s="8" t="s">
        <v>1562</v>
      </c>
      <c r="B52" s="29" t="s">
        <v>1961</v>
      </c>
      <c r="C52" s="8" t="s">
        <v>1563</v>
      </c>
      <c r="D52" s="31">
        <v>91.865</v>
      </c>
      <c r="E52" s="46"/>
    </row>
    <row r="53" spans="1:5" ht="12.75" outlineLevel="1">
      <c r="A53" s="117" t="s">
        <v>1340</v>
      </c>
      <c r="B53" s="118"/>
      <c r="C53" s="119"/>
      <c r="D53" s="28">
        <f>SUM(D54:D54)</f>
        <v>413</v>
      </c>
      <c r="E53" s="46"/>
    </row>
    <row r="54" spans="1:5" ht="12.75" outlineLevel="2">
      <c r="A54" s="9" t="s">
        <v>1259</v>
      </c>
      <c r="B54" s="29" t="s">
        <v>1954</v>
      </c>
      <c r="C54" s="51" t="s">
        <v>1601</v>
      </c>
      <c r="D54" s="30">
        <v>413</v>
      </c>
      <c r="E54" s="46"/>
    </row>
    <row r="55" spans="1:5" ht="12.75" outlineLevel="1">
      <c r="A55" s="117" t="s">
        <v>1344</v>
      </c>
      <c r="B55" s="118"/>
      <c r="C55" s="119"/>
      <c r="D55" s="28">
        <f>SUM(D56:D67)</f>
        <v>189091.71999999997</v>
      </c>
      <c r="E55" s="46"/>
    </row>
    <row r="56" spans="1:5" ht="12.75" outlineLevel="2">
      <c r="A56" s="7"/>
      <c r="B56" s="29" t="s">
        <v>849</v>
      </c>
      <c r="C56" s="7" t="s">
        <v>1950</v>
      </c>
      <c r="D56" s="30">
        <f>3812.3+3329.73+1978.54+4680.93+2026.79+1254.68</f>
        <v>17082.97</v>
      </c>
      <c r="E56" s="46"/>
    </row>
    <row r="57" spans="1:5" ht="12.75" outlineLevel="2">
      <c r="A57" s="7"/>
      <c r="B57" s="29" t="s">
        <v>1951</v>
      </c>
      <c r="C57" s="7" t="s">
        <v>1950</v>
      </c>
      <c r="D57" s="30">
        <f>3812.3+3329.73+1978.54+4680.93+2026.79+1254.68</f>
        <v>17082.97</v>
      </c>
      <c r="E57" s="46"/>
    </row>
    <row r="58" spans="1:5" ht="12.75" outlineLevel="2">
      <c r="A58" s="7"/>
      <c r="B58" s="29" t="s">
        <v>1952</v>
      </c>
      <c r="C58" s="7" t="s">
        <v>1950</v>
      </c>
      <c r="D58" s="30">
        <f>3812.3+3329.73+1978.54+4680.93+2026.79+1254.68+289.54</f>
        <v>17372.510000000002</v>
      </c>
      <c r="E58" s="46"/>
    </row>
    <row r="59" spans="1:5" ht="12.75" outlineLevel="2">
      <c r="A59" s="7"/>
      <c r="B59" s="29" t="s">
        <v>1953</v>
      </c>
      <c r="C59" s="7" t="s">
        <v>1950</v>
      </c>
      <c r="D59" s="30">
        <f>3812.3+2943.68+6659.47+1930.28+1254.68+249.01</f>
        <v>16849.42</v>
      </c>
      <c r="E59" s="46"/>
    </row>
    <row r="60" spans="1:5" ht="12.75" outlineLevel="2">
      <c r="A60" s="7"/>
      <c r="B60" s="29" t="s">
        <v>1954</v>
      </c>
      <c r="C60" s="7" t="s">
        <v>1950</v>
      </c>
      <c r="D60" s="30">
        <f>3812.3+2557.62+6562.95+1785.51+1206.43+289.54+772.11</f>
        <v>16986.46</v>
      </c>
      <c r="E60" s="46"/>
    </row>
    <row r="61" spans="1:5" ht="12.75" outlineLevel="2">
      <c r="A61" s="7"/>
      <c r="B61" s="29" t="s">
        <v>1955</v>
      </c>
      <c r="C61" s="7" t="s">
        <v>1950</v>
      </c>
      <c r="D61" s="30">
        <f>1906.15+1278.81+3329.73+892.75+603.21</f>
        <v>8010.650000000001</v>
      </c>
      <c r="E61" s="46"/>
    </row>
    <row r="62" spans="1:5" ht="12.75" customHeight="1" outlineLevel="2">
      <c r="A62" s="7"/>
      <c r="B62" s="29" t="s">
        <v>1956</v>
      </c>
      <c r="C62" s="7" t="s">
        <v>1950</v>
      </c>
      <c r="D62" s="30">
        <f>4246.62+2847.16+7431.58+1645.56+1351.2</f>
        <v>17522.12</v>
      </c>
      <c r="E62" s="46"/>
    </row>
    <row r="63" spans="1:5" ht="12.75" outlineLevel="2">
      <c r="A63" s="7"/>
      <c r="B63" s="29" t="s">
        <v>1957</v>
      </c>
      <c r="C63" s="7" t="s">
        <v>1950</v>
      </c>
      <c r="D63" s="30">
        <f>4246.62+2847.16+7431.58+1645.56+1351.2</f>
        <v>17522.12</v>
      </c>
      <c r="E63" s="46"/>
    </row>
    <row r="64" spans="1:5" ht="12.75" outlineLevel="2">
      <c r="A64" s="7"/>
      <c r="B64" s="29" t="s">
        <v>1958</v>
      </c>
      <c r="C64" s="7" t="s">
        <v>1950</v>
      </c>
      <c r="D64" s="30">
        <f>4246.62+2847.16+7413.58+1645.56+1351.2</f>
        <v>17504.12</v>
      </c>
      <c r="E64" s="46"/>
    </row>
    <row r="65" spans="1:5" ht="12.75" outlineLevel="2">
      <c r="A65" s="7"/>
      <c r="B65" s="29" t="s">
        <v>1959</v>
      </c>
      <c r="C65" s="7" t="s">
        <v>1950</v>
      </c>
      <c r="D65" s="30">
        <f>1330.8+1171.1+785.17+2049.43+453.8+160.23</f>
        <v>5950.53</v>
      </c>
      <c r="E65" s="46"/>
    </row>
    <row r="66" spans="1:5" ht="12.75" outlineLevel="2">
      <c r="A66" s="7"/>
      <c r="B66" s="29" t="s">
        <v>1960</v>
      </c>
      <c r="C66" s="7" t="s">
        <v>1950</v>
      </c>
      <c r="D66" s="30">
        <f>4239.4+3709.48+2216.05+5202.9+2264.23+1348.9</f>
        <v>18980.960000000003</v>
      </c>
      <c r="E66" s="46"/>
    </row>
    <row r="67" spans="1:5" ht="12.75" outlineLevel="2">
      <c r="A67" s="11"/>
      <c r="B67" s="29" t="s">
        <v>1961</v>
      </c>
      <c r="C67" s="7" t="s">
        <v>1950</v>
      </c>
      <c r="D67" s="30">
        <f>4239.4+2972.63+2219.82+5211.76+2268.08+1315.2</f>
        <v>18226.890000000003</v>
      </c>
      <c r="E67" s="46"/>
    </row>
    <row r="68" spans="1:5" ht="12.75" outlineLevel="1">
      <c r="A68" s="117" t="s">
        <v>1346</v>
      </c>
      <c r="B68" s="118"/>
      <c r="C68" s="119"/>
      <c r="D68" s="28">
        <f>SUM(D69:D73)</f>
        <v>11570.970000000001</v>
      </c>
      <c r="E68" s="46"/>
    </row>
    <row r="69" spans="1:5" ht="12.75" outlineLevel="2">
      <c r="A69" s="7" t="s">
        <v>1198</v>
      </c>
      <c r="B69" s="29" t="s">
        <v>849</v>
      </c>
      <c r="C69" s="7" t="s">
        <v>1699</v>
      </c>
      <c r="D69" s="30">
        <v>1378</v>
      </c>
      <c r="E69" s="46"/>
    </row>
    <row r="70" spans="1:5" ht="12.75" outlineLevel="2">
      <c r="A70" s="7" t="s">
        <v>710</v>
      </c>
      <c r="B70" s="29" t="s">
        <v>1957</v>
      </c>
      <c r="C70" s="7" t="s">
        <v>709</v>
      </c>
      <c r="D70" s="30">
        <v>6423</v>
      </c>
      <c r="E70" s="46"/>
    </row>
    <row r="71" spans="1:5" ht="12.75" outlineLevel="2">
      <c r="A71" s="7" t="s">
        <v>1809</v>
      </c>
      <c r="B71" s="29" t="s">
        <v>1958</v>
      </c>
      <c r="C71" s="7" t="s">
        <v>1808</v>
      </c>
      <c r="D71" s="30">
        <v>292.1</v>
      </c>
      <c r="E71" s="46"/>
    </row>
    <row r="72" spans="1:5" ht="12.75" outlineLevel="2">
      <c r="A72" s="7" t="s">
        <v>1382</v>
      </c>
      <c r="B72" s="29" t="s">
        <v>1961</v>
      </c>
      <c r="C72" s="7" t="s">
        <v>1383</v>
      </c>
      <c r="D72" s="30">
        <v>1477.87</v>
      </c>
      <c r="E72" s="46"/>
    </row>
    <row r="73" spans="1:5" ht="12.75" outlineLevel="2">
      <c r="A73" s="51" t="s">
        <v>1418</v>
      </c>
      <c r="B73" s="52" t="s">
        <v>1961</v>
      </c>
      <c r="C73" s="51" t="s">
        <v>1419</v>
      </c>
      <c r="D73" s="30">
        <v>2000</v>
      </c>
      <c r="E73" s="46"/>
    </row>
    <row r="74" spans="1:5" ht="12.75" outlineLevel="1">
      <c r="A74" s="117" t="s">
        <v>1342</v>
      </c>
      <c r="B74" s="118"/>
      <c r="C74" s="119"/>
      <c r="D74" s="28">
        <f>D75</f>
        <v>22059.41</v>
      </c>
      <c r="E74" s="46"/>
    </row>
    <row r="75" spans="1:5" ht="12.75" outlineLevel="2">
      <c r="A75" s="7" t="s">
        <v>1655</v>
      </c>
      <c r="B75" s="7" t="s">
        <v>1961</v>
      </c>
      <c r="C75" s="7" t="s">
        <v>1225</v>
      </c>
      <c r="D75" s="16">
        <v>22059.41</v>
      </c>
      <c r="E75" s="46"/>
    </row>
    <row r="76" spans="1:5" ht="12.75" customHeight="1" outlineLevel="1">
      <c r="A76" s="117" t="s">
        <v>1341</v>
      </c>
      <c r="B76" s="118"/>
      <c r="C76" s="119"/>
      <c r="D76" s="28">
        <f>SUM(D77:D86)</f>
        <v>11608.86</v>
      </c>
      <c r="E76" s="46"/>
    </row>
    <row r="77" spans="1:5" ht="12.75" outlineLevel="2">
      <c r="A77" s="7" t="s">
        <v>124</v>
      </c>
      <c r="B77" s="29" t="s">
        <v>849</v>
      </c>
      <c r="C77" s="7" t="s">
        <v>125</v>
      </c>
      <c r="D77" s="30">
        <v>729</v>
      </c>
      <c r="E77" s="46"/>
    </row>
    <row r="78" spans="1:5" ht="12.75" outlineLevel="2">
      <c r="A78" s="7" t="s">
        <v>1784</v>
      </c>
      <c r="B78" s="29" t="s">
        <v>849</v>
      </c>
      <c r="C78" s="7" t="s">
        <v>1787</v>
      </c>
      <c r="D78" s="30">
        <v>357</v>
      </c>
      <c r="E78" s="46"/>
    </row>
    <row r="79" spans="1:5" ht="12.75" outlineLevel="2">
      <c r="A79" s="7" t="s">
        <v>1893</v>
      </c>
      <c r="B79" s="29" t="s">
        <v>849</v>
      </c>
      <c r="C79" s="7" t="s">
        <v>1894</v>
      </c>
      <c r="D79" s="30">
        <v>116</v>
      </c>
      <c r="E79" s="46"/>
    </row>
    <row r="80" spans="1:5" ht="12.75" outlineLevel="2">
      <c r="A80" s="51" t="s">
        <v>669</v>
      </c>
      <c r="B80" s="52" t="s">
        <v>1951</v>
      </c>
      <c r="C80" s="51" t="s">
        <v>670</v>
      </c>
      <c r="D80" s="30">
        <v>686</v>
      </c>
      <c r="E80" s="46"/>
    </row>
    <row r="81" spans="1:5" ht="12.75" outlineLevel="2">
      <c r="A81" s="7" t="s">
        <v>28</v>
      </c>
      <c r="B81" s="29" t="s">
        <v>1952</v>
      </c>
      <c r="C81" s="7" t="s">
        <v>29</v>
      </c>
      <c r="D81" s="30">
        <v>2947</v>
      </c>
      <c r="E81" s="46"/>
    </row>
    <row r="82" spans="1:5" ht="12.75" outlineLevel="2">
      <c r="A82" s="7" t="s">
        <v>505</v>
      </c>
      <c r="B82" s="29" t="s">
        <v>1952</v>
      </c>
      <c r="C82" s="7" t="s">
        <v>506</v>
      </c>
      <c r="D82" s="30">
        <v>580</v>
      </c>
      <c r="E82" s="46"/>
    </row>
    <row r="83" spans="1:5" ht="12.75" outlineLevel="2">
      <c r="A83" s="7" t="s">
        <v>2699</v>
      </c>
      <c r="B83" s="29" t="s">
        <v>1954</v>
      </c>
      <c r="C83" s="7" t="s">
        <v>2701</v>
      </c>
      <c r="D83" s="30">
        <v>482</v>
      </c>
      <c r="E83" s="46"/>
    </row>
    <row r="84" spans="1:5" ht="12.75" outlineLevel="2">
      <c r="A84" s="7" t="s">
        <v>593</v>
      </c>
      <c r="B84" s="29" t="s">
        <v>1954</v>
      </c>
      <c r="C84" s="7" t="s">
        <v>594</v>
      </c>
      <c r="D84" s="30">
        <v>2560</v>
      </c>
      <c r="E84" s="46"/>
    </row>
    <row r="85" spans="1:5" ht="12.75" outlineLevel="2">
      <c r="A85" s="7" t="s">
        <v>2491</v>
      </c>
      <c r="B85" s="29" t="s">
        <v>1959</v>
      </c>
      <c r="C85" s="7" t="s">
        <v>2492</v>
      </c>
      <c r="D85" s="30">
        <v>2810</v>
      </c>
      <c r="E85" s="46"/>
    </row>
    <row r="86" spans="1:5" ht="12.75" outlineLevel="2">
      <c r="A86" s="7" t="s">
        <v>2495</v>
      </c>
      <c r="B86" s="29" t="s">
        <v>1959</v>
      </c>
      <c r="C86" s="7" t="s">
        <v>2496</v>
      </c>
      <c r="D86" s="30">
        <v>341.86</v>
      </c>
      <c r="E86" s="46"/>
    </row>
    <row r="87" spans="1:5" ht="12.75" outlineLevel="1">
      <c r="A87" s="117" t="s">
        <v>1347</v>
      </c>
      <c r="B87" s="118"/>
      <c r="C87" s="119"/>
      <c r="D87" s="28">
        <f>SUM(D88:D88)</f>
        <v>11027.9</v>
      </c>
      <c r="E87" s="46"/>
    </row>
    <row r="88" spans="1:5" ht="12.75" outlineLevel="2">
      <c r="A88" s="11"/>
      <c r="B88" s="29"/>
      <c r="C88" s="7" t="s">
        <v>239</v>
      </c>
      <c r="D88" s="30">
        <f>1494.6+9533.3</f>
        <v>11027.9</v>
      </c>
      <c r="E88" s="46"/>
    </row>
    <row r="89" spans="1:6" ht="12.75">
      <c r="A89" s="6">
        <v>4826.5</v>
      </c>
      <c r="B89" s="6" t="s">
        <v>1356</v>
      </c>
      <c r="C89" s="37" t="s">
        <v>1345</v>
      </c>
      <c r="D89" s="23">
        <f>(4826.5*6*1.46)+(4826.5*6*1.63)</f>
        <v>89483.31</v>
      </c>
      <c r="E89" s="46"/>
      <c r="F89" s="37" t="s">
        <v>1352</v>
      </c>
    </row>
    <row r="90" spans="1:6" ht="13.5" thickBot="1">
      <c r="A90" s="6">
        <v>4826.5</v>
      </c>
      <c r="B90" s="6" t="s">
        <v>1356</v>
      </c>
      <c r="C90" s="37" t="s">
        <v>1357</v>
      </c>
      <c r="D90" s="23">
        <f>(4826.5*6*0.1)+(4826.5*6*0.11)</f>
        <v>6081.39</v>
      </c>
      <c r="E90" s="46"/>
      <c r="F90" s="37" t="s">
        <v>1351</v>
      </c>
    </row>
    <row r="91" spans="1:6" ht="12.75" customHeight="1" thickTop="1">
      <c r="A91" s="132" t="s">
        <v>1361</v>
      </c>
      <c r="B91" s="133"/>
      <c r="C91" s="134"/>
      <c r="D91" s="67">
        <f>(4826.5*6*0.94)+(4826.5*6*1.03)</f>
        <v>57049.229999999996</v>
      </c>
      <c r="E91" s="48"/>
      <c r="F91" s="14" t="s">
        <v>787</v>
      </c>
    </row>
    <row r="92" spans="1:6" ht="12.75" customHeight="1">
      <c r="A92" s="125" t="s">
        <v>1350</v>
      </c>
      <c r="B92" s="126"/>
      <c r="C92" s="127"/>
      <c r="D92" s="67">
        <f>(4826.5*6*1.57)+(4826.5*6*1.75)</f>
        <v>96143.88</v>
      </c>
      <c r="E92" s="48"/>
      <c r="F92" s="14" t="s">
        <v>788</v>
      </c>
    </row>
    <row r="93" spans="1:6" ht="12.75" customHeight="1">
      <c r="A93" s="125" t="s">
        <v>1362</v>
      </c>
      <c r="B93" s="126"/>
      <c r="C93" s="127"/>
      <c r="D93" s="16">
        <f>10.3*(D95+D96)/100</f>
        <v>135110.32828000002</v>
      </c>
      <c r="E93" s="48"/>
      <c r="F93" s="14" t="s">
        <v>789</v>
      </c>
    </row>
    <row r="94" spans="1:6" ht="12.75" customHeight="1">
      <c r="A94" s="120" t="s">
        <v>1363</v>
      </c>
      <c r="B94" s="121"/>
      <c r="C94" s="122"/>
      <c r="D94" s="41">
        <f>D93+D92+D91+D8+D3</f>
        <v>1075048.5832800001</v>
      </c>
      <c r="E94" s="48">
        <v>1</v>
      </c>
      <c r="F94" s="14" t="s">
        <v>790</v>
      </c>
    </row>
    <row r="95" spans="1:6" ht="12.75" customHeight="1">
      <c r="A95" s="114" t="s">
        <v>1364</v>
      </c>
      <c r="B95" s="115"/>
      <c r="C95" s="116"/>
      <c r="D95" s="18">
        <v>1152487.7</v>
      </c>
      <c r="E95" s="48">
        <v>2</v>
      </c>
      <c r="F95" s="27"/>
    </row>
    <row r="96" spans="1:6" ht="12.75" customHeight="1">
      <c r="A96" s="114" t="s">
        <v>1365</v>
      </c>
      <c r="B96" s="115"/>
      <c r="C96" s="116"/>
      <c r="D96" s="18">
        <v>159263.06</v>
      </c>
      <c r="E96" s="48">
        <v>3</v>
      </c>
      <c r="F96" s="37" t="s">
        <v>1352</v>
      </c>
    </row>
    <row r="97" spans="1:6" ht="12.75" customHeight="1">
      <c r="A97" s="114" t="s">
        <v>2221</v>
      </c>
      <c r="B97" s="115"/>
      <c r="C97" s="116"/>
      <c r="D97" s="19">
        <f>1233348.66+D95</f>
        <v>2385836.36</v>
      </c>
      <c r="E97" s="48">
        <v>4</v>
      </c>
      <c r="F97" s="37" t="s">
        <v>791</v>
      </c>
    </row>
    <row r="98" spans="1:6" ht="13.5" customHeight="1">
      <c r="A98" s="114" t="s">
        <v>2222</v>
      </c>
      <c r="B98" s="115"/>
      <c r="C98" s="116"/>
      <c r="D98" s="19">
        <f>865180+D103</f>
        <v>1875987.3199999998</v>
      </c>
      <c r="E98" s="48">
        <v>5</v>
      </c>
      <c r="F98" s="14" t="s">
        <v>843</v>
      </c>
    </row>
    <row r="99" spans="1:6" ht="25.5" customHeight="1">
      <c r="A99" s="120" t="s">
        <v>2223</v>
      </c>
      <c r="B99" s="121"/>
      <c r="C99" s="122"/>
      <c r="D99" s="42">
        <f>1665020.45+D94</f>
        <v>2740069.03328</v>
      </c>
      <c r="E99" s="48">
        <v>6</v>
      </c>
      <c r="F99" s="14" t="s">
        <v>844</v>
      </c>
    </row>
    <row r="100" spans="1:6" ht="12.75" customHeight="1">
      <c r="A100" s="114" t="s">
        <v>2224</v>
      </c>
      <c r="B100" s="115"/>
      <c r="C100" s="116"/>
      <c r="D100" s="19">
        <f>179210.9+D96</f>
        <v>338473.95999999996</v>
      </c>
      <c r="E100" s="48">
        <v>7</v>
      </c>
      <c r="F100" s="14" t="s">
        <v>845</v>
      </c>
    </row>
    <row r="101" spans="1:6" ht="12.75" customHeight="1">
      <c r="A101" s="114" t="s">
        <v>2225</v>
      </c>
      <c r="B101" s="115"/>
      <c r="C101" s="116"/>
      <c r="D101" s="19">
        <f>122684.7+D104</f>
        <v>262368.85</v>
      </c>
      <c r="E101" s="48">
        <v>8</v>
      </c>
      <c r="F101" s="14" t="s">
        <v>787</v>
      </c>
    </row>
    <row r="102" spans="1:6" ht="12.75" customHeight="1">
      <c r="A102" s="120" t="s">
        <v>2226</v>
      </c>
      <c r="B102" s="121"/>
      <c r="C102" s="122"/>
      <c r="D102" s="42">
        <v>0</v>
      </c>
      <c r="E102" s="48">
        <v>9</v>
      </c>
      <c r="F102" s="14" t="s">
        <v>846</v>
      </c>
    </row>
    <row r="103" spans="1:6" ht="12.75" customHeight="1">
      <c r="A103" s="114" t="s">
        <v>779</v>
      </c>
      <c r="B103" s="115"/>
      <c r="C103" s="116"/>
      <c r="D103" s="18">
        <v>1010807.32</v>
      </c>
      <c r="E103" s="48">
        <v>10</v>
      </c>
      <c r="F103" s="14" t="s">
        <v>847</v>
      </c>
    </row>
    <row r="104" spans="1:6" ht="12.75" customHeight="1">
      <c r="A104" s="114" t="s">
        <v>780</v>
      </c>
      <c r="B104" s="115"/>
      <c r="C104" s="116"/>
      <c r="D104" s="18">
        <v>139684.15</v>
      </c>
      <c r="E104" s="48">
        <v>11</v>
      </c>
      <c r="F104" s="14" t="s">
        <v>848</v>
      </c>
    </row>
    <row r="105" spans="1:6" ht="12.75" customHeight="1">
      <c r="A105" s="120" t="s">
        <v>781</v>
      </c>
      <c r="B105" s="121"/>
      <c r="C105" s="122"/>
      <c r="D105" s="41">
        <v>0</v>
      </c>
      <c r="E105" s="48">
        <v>12</v>
      </c>
      <c r="F105" s="43"/>
    </row>
    <row r="106" spans="1:6" ht="27" customHeight="1">
      <c r="A106" s="108" t="s">
        <v>1625</v>
      </c>
      <c r="B106" s="109"/>
      <c r="C106" s="110"/>
      <c r="D106" s="26">
        <f>D97-D99</f>
        <v>-354232.6732800002</v>
      </c>
      <c r="E106" s="48">
        <v>13</v>
      </c>
      <c r="F106" s="43"/>
    </row>
    <row r="107" spans="1:6" ht="25.5" customHeight="1">
      <c r="A107" s="108" t="s">
        <v>783</v>
      </c>
      <c r="B107" s="109"/>
      <c r="C107" s="110"/>
      <c r="D107" s="26">
        <f>D100-D102</f>
        <v>338473.95999999996</v>
      </c>
      <c r="E107" s="48">
        <v>14</v>
      </c>
      <c r="F107" s="43"/>
    </row>
    <row r="108" spans="1:6" ht="25.5" customHeight="1">
      <c r="A108" s="108" t="s">
        <v>718</v>
      </c>
      <c r="B108" s="109"/>
      <c r="C108" s="110"/>
      <c r="D108" s="26">
        <f>D98-D99</f>
        <v>-864081.7132800003</v>
      </c>
      <c r="E108" s="48">
        <v>15</v>
      </c>
      <c r="F108" s="43"/>
    </row>
    <row r="109" ht="12.75">
      <c r="F109" s="43"/>
    </row>
  </sheetData>
  <sheetProtection/>
  <mergeCells count="29">
    <mergeCell ref="A98:C98"/>
    <mergeCell ref="A97:C97"/>
    <mergeCell ref="A95:C95"/>
    <mergeCell ref="A96:C96"/>
    <mergeCell ref="A53:C53"/>
    <mergeCell ref="A3:C3"/>
    <mergeCell ref="A4:C4"/>
    <mergeCell ref="A8:C8"/>
    <mergeCell ref="A9:C9"/>
    <mergeCell ref="A99:C99"/>
    <mergeCell ref="A55:C55"/>
    <mergeCell ref="A68:C68"/>
    <mergeCell ref="A76:C76"/>
    <mergeCell ref="A87:C87"/>
    <mergeCell ref="A74:C74"/>
    <mergeCell ref="A91:C91"/>
    <mergeCell ref="A92:C92"/>
    <mergeCell ref="A93:C93"/>
    <mergeCell ref="A94:C94"/>
    <mergeCell ref="A1:D1"/>
    <mergeCell ref="A107:C107"/>
    <mergeCell ref="A108:C108"/>
    <mergeCell ref="A101:C101"/>
    <mergeCell ref="A102:C102"/>
    <mergeCell ref="A103:C103"/>
    <mergeCell ref="A104:C104"/>
    <mergeCell ref="A105:C105"/>
    <mergeCell ref="A106:C106"/>
    <mergeCell ref="A100:C100"/>
  </mergeCells>
  <printOptions/>
  <pageMargins left="0.2" right="0.17" top="0.38" bottom="0.36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20" sqref="A1:D120"/>
    </sheetView>
  </sheetViews>
  <sheetFormatPr defaultColWidth="13.421875" defaultRowHeight="12.75" outlineLevelRow="2"/>
  <cols>
    <col min="1" max="1" width="13.57421875" style="1" customWidth="1"/>
    <col min="2" max="2" width="9.85156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5.25" customHeight="1" thickBot="1">
      <c r="A1" s="135" t="s">
        <v>1602</v>
      </c>
      <c r="B1" s="136"/>
      <c r="C1" s="136"/>
      <c r="D1" s="136"/>
    </row>
    <row r="2" spans="1:5" ht="24.75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242800</v>
      </c>
      <c r="E3" s="45"/>
    </row>
    <row r="4" spans="1:5" ht="12.75" outlineLevel="1">
      <c r="A4" s="117" t="s">
        <v>1355</v>
      </c>
      <c r="B4" s="118"/>
      <c r="C4" s="119"/>
      <c r="D4" s="28">
        <f>SUM(D5:D5)</f>
        <v>242800</v>
      </c>
      <c r="E4" s="46"/>
    </row>
    <row r="5" spans="1:5" ht="12.75" outlineLevel="2">
      <c r="A5" s="7" t="s">
        <v>2690</v>
      </c>
      <c r="B5" s="29" t="s">
        <v>1954</v>
      </c>
      <c r="C5" s="13" t="s">
        <v>2691</v>
      </c>
      <c r="D5" s="30">
        <v>242800</v>
      </c>
      <c r="E5" s="46"/>
    </row>
    <row r="6" spans="1:5" ht="13.5" customHeight="1" thickBot="1">
      <c r="A6" s="124" t="s">
        <v>1343</v>
      </c>
      <c r="B6" s="124"/>
      <c r="C6" s="124"/>
      <c r="D6" s="25">
        <f>D7+D54+D61+D64+D77+D86+D98+D102+D103</f>
        <v>522976.22000000003</v>
      </c>
      <c r="E6" s="45"/>
    </row>
    <row r="7" spans="1:5" ht="13.5" outlineLevel="1" thickTop="1">
      <c r="A7" s="111" t="s">
        <v>1354</v>
      </c>
      <c r="B7" s="112"/>
      <c r="C7" s="113"/>
      <c r="D7" s="28">
        <f>SUM(D8:D53)</f>
        <v>129692.98999999999</v>
      </c>
      <c r="E7" s="46"/>
    </row>
    <row r="8" spans="1:5" ht="12.75" outlineLevel="2">
      <c r="A8" s="7" t="s">
        <v>1103</v>
      </c>
      <c r="B8" s="29" t="s">
        <v>849</v>
      </c>
      <c r="C8" s="7" t="s">
        <v>1105</v>
      </c>
      <c r="D8" s="30">
        <v>2941</v>
      </c>
      <c r="E8" s="46"/>
    </row>
    <row r="9" spans="1:5" ht="12.75" outlineLevel="2">
      <c r="A9" s="7" t="s">
        <v>1111</v>
      </c>
      <c r="B9" s="29" t="s">
        <v>849</v>
      </c>
      <c r="C9" s="7" t="s">
        <v>1112</v>
      </c>
      <c r="D9" s="30">
        <v>69</v>
      </c>
      <c r="E9" s="46"/>
    </row>
    <row r="10" spans="1:5" ht="12.75" outlineLevel="2">
      <c r="A10" s="7" t="s">
        <v>1185</v>
      </c>
      <c r="B10" s="29" t="s">
        <v>849</v>
      </c>
      <c r="C10" s="7" t="s">
        <v>1190</v>
      </c>
      <c r="D10" s="30">
        <v>3687</v>
      </c>
      <c r="E10" s="46"/>
    </row>
    <row r="11" spans="1:5" ht="12.75" outlineLevel="2">
      <c r="A11" s="7" t="s">
        <v>2155</v>
      </c>
      <c r="B11" s="29" t="s">
        <v>849</v>
      </c>
      <c r="C11" s="51" t="s">
        <v>1550</v>
      </c>
      <c r="D11" s="30">
        <v>94.7</v>
      </c>
      <c r="E11" s="46"/>
    </row>
    <row r="12" spans="1:5" ht="12.75" outlineLevel="2">
      <c r="A12" s="7" t="s">
        <v>37</v>
      </c>
      <c r="B12" s="29" t="s">
        <v>1951</v>
      </c>
      <c r="C12" s="7" t="s">
        <v>38</v>
      </c>
      <c r="D12" s="30">
        <v>784</v>
      </c>
      <c r="E12" s="46"/>
    </row>
    <row r="13" spans="1:5" ht="12.75" outlineLevel="2">
      <c r="A13" s="7" t="s">
        <v>657</v>
      </c>
      <c r="B13" s="29" t="s">
        <v>1951</v>
      </c>
      <c r="C13" s="7" t="s">
        <v>658</v>
      </c>
      <c r="D13" s="30">
        <v>559</v>
      </c>
      <c r="E13" s="46"/>
    </row>
    <row r="14" spans="1:5" ht="12.75" outlineLevel="2">
      <c r="A14" s="7" t="s">
        <v>543</v>
      </c>
      <c r="B14" s="29" t="s">
        <v>1952</v>
      </c>
      <c r="C14" s="7" t="s">
        <v>549</v>
      </c>
      <c r="D14" s="30">
        <v>726</v>
      </c>
      <c r="E14" s="46"/>
    </row>
    <row r="15" spans="1:5" ht="12.75" outlineLevel="2">
      <c r="A15" s="7" t="s">
        <v>2376</v>
      </c>
      <c r="B15" s="29" t="s">
        <v>1952</v>
      </c>
      <c r="C15" s="7" t="s">
        <v>2377</v>
      </c>
      <c r="D15" s="30">
        <v>94.7</v>
      </c>
      <c r="E15" s="46"/>
    </row>
    <row r="16" spans="1:5" ht="12.75" outlineLevel="2">
      <c r="A16" s="7" t="s">
        <v>2290</v>
      </c>
      <c r="B16" s="29" t="s">
        <v>1953</v>
      </c>
      <c r="C16" s="7" t="s">
        <v>2292</v>
      </c>
      <c r="D16" s="30">
        <v>410</v>
      </c>
      <c r="E16" s="46"/>
    </row>
    <row r="17" spans="1:5" ht="12.75" outlineLevel="2">
      <c r="A17" s="7" t="s">
        <v>2443</v>
      </c>
      <c r="B17" s="29" t="s">
        <v>1953</v>
      </c>
      <c r="C17" s="7" t="s">
        <v>2444</v>
      </c>
      <c r="D17" s="30">
        <v>4597</v>
      </c>
      <c r="E17" s="46"/>
    </row>
    <row r="18" spans="1:5" ht="12.75" outlineLevel="2">
      <c r="A18" s="7" t="s">
        <v>2546</v>
      </c>
      <c r="B18" s="29" t="s">
        <v>1953</v>
      </c>
      <c r="C18" s="7" t="s">
        <v>2548</v>
      </c>
      <c r="D18" s="30">
        <v>5519</v>
      </c>
      <c r="E18" s="46"/>
    </row>
    <row r="19" spans="1:5" ht="12.75" outlineLevel="2">
      <c r="A19" s="7" t="s">
        <v>1317</v>
      </c>
      <c r="B19" s="29" t="s">
        <v>1953</v>
      </c>
      <c r="C19" s="7" t="s">
        <v>666</v>
      </c>
      <c r="D19" s="30">
        <v>23.58</v>
      </c>
      <c r="E19" s="46"/>
    </row>
    <row r="20" spans="1:5" ht="12.75" outlineLevel="2">
      <c r="A20" s="7" t="s">
        <v>2447</v>
      </c>
      <c r="B20" s="29" t="s">
        <v>1953</v>
      </c>
      <c r="C20" s="7" t="s">
        <v>2448</v>
      </c>
      <c r="D20" s="30">
        <v>15314</v>
      </c>
      <c r="E20" s="46"/>
    </row>
    <row r="21" spans="1:5" ht="25.5" outlineLevel="2">
      <c r="A21" s="8" t="s">
        <v>2703</v>
      </c>
      <c r="B21" s="29" t="s">
        <v>1954</v>
      </c>
      <c r="C21" s="7" t="s">
        <v>2704</v>
      </c>
      <c r="D21" s="31">
        <v>6545</v>
      </c>
      <c r="E21" s="46"/>
    </row>
    <row r="22" spans="1:5" ht="12.75" outlineLevel="2">
      <c r="A22" s="8" t="s">
        <v>579</v>
      </c>
      <c r="B22" s="29" t="s">
        <v>1954</v>
      </c>
      <c r="C22" s="7" t="s">
        <v>559</v>
      </c>
      <c r="D22" s="31">
        <v>31.45</v>
      </c>
      <c r="E22" s="46"/>
    </row>
    <row r="23" spans="1:5" ht="12.75" outlineLevel="2">
      <c r="A23" s="8" t="s">
        <v>2800</v>
      </c>
      <c r="B23" s="29" t="s">
        <v>1954</v>
      </c>
      <c r="C23" s="8" t="s">
        <v>1328</v>
      </c>
      <c r="D23" s="31">
        <v>568.2</v>
      </c>
      <c r="E23" s="46"/>
    </row>
    <row r="24" spans="1:5" ht="12.75" outlineLevel="2">
      <c r="A24" s="8" t="s">
        <v>980</v>
      </c>
      <c r="B24" s="29" t="s">
        <v>1955</v>
      </c>
      <c r="C24" s="8" t="s">
        <v>981</v>
      </c>
      <c r="D24" s="31">
        <v>3109</v>
      </c>
      <c r="E24" s="46"/>
    </row>
    <row r="25" spans="1:5" ht="25.5" outlineLevel="2">
      <c r="A25" s="8" t="s">
        <v>1007</v>
      </c>
      <c r="B25" s="29" t="s">
        <v>1955</v>
      </c>
      <c r="C25" s="8" t="s">
        <v>1008</v>
      </c>
      <c r="D25" s="31">
        <v>5672</v>
      </c>
      <c r="E25" s="46"/>
    </row>
    <row r="26" spans="1:5" ht="12.75" outlineLevel="2">
      <c r="A26" s="8" t="s">
        <v>1038</v>
      </c>
      <c r="B26" s="29" t="s">
        <v>1955</v>
      </c>
      <c r="C26" s="8" t="s">
        <v>1041</v>
      </c>
      <c r="D26" s="31">
        <v>1274</v>
      </c>
      <c r="E26" s="46"/>
    </row>
    <row r="27" spans="1:5" ht="12.75" outlineLevel="2">
      <c r="A27" s="8" t="s">
        <v>1044</v>
      </c>
      <c r="B27" s="29" t="s">
        <v>1955</v>
      </c>
      <c r="C27" s="8" t="s">
        <v>1045</v>
      </c>
      <c r="D27" s="31">
        <v>174</v>
      </c>
      <c r="E27" s="46"/>
    </row>
    <row r="28" spans="1:5" ht="12.75" outlineLevel="2">
      <c r="A28" s="8" t="s">
        <v>401</v>
      </c>
      <c r="B28" s="29" t="s">
        <v>1955</v>
      </c>
      <c r="C28" s="8" t="s">
        <v>371</v>
      </c>
      <c r="D28" s="31">
        <v>189.4</v>
      </c>
      <c r="E28" s="46"/>
    </row>
    <row r="29" spans="1:5" ht="12.75" outlineLevel="2">
      <c r="A29" s="8" t="s">
        <v>2347</v>
      </c>
      <c r="B29" s="29" t="s">
        <v>1956</v>
      </c>
      <c r="C29" s="8" t="s">
        <v>2348</v>
      </c>
      <c r="D29" s="31">
        <v>7.86</v>
      </c>
      <c r="E29" s="46"/>
    </row>
    <row r="30" spans="1:5" ht="12.75" outlineLevel="2">
      <c r="A30" s="8" t="s">
        <v>1075</v>
      </c>
      <c r="B30" s="29" t="s">
        <v>1956</v>
      </c>
      <c r="C30" s="8" t="s">
        <v>1077</v>
      </c>
      <c r="D30" s="31">
        <v>7.86</v>
      </c>
      <c r="E30" s="46"/>
    </row>
    <row r="31" spans="1:5" ht="12.75" outlineLevel="2">
      <c r="A31" s="8" t="s">
        <v>377</v>
      </c>
      <c r="B31" s="29" t="s">
        <v>1957</v>
      </c>
      <c r="C31" s="8" t="s">
        <v>2596</v>
      </c>
      <c r="D31" s="31">
        <v>7.86</v>
      </c>
      <c r="E31" s="46"/>
    </row>
    <row r="32" spans="1:5" ht="12.75" outlineLevel="2">
      <c r="A32" s="8" t="s">
        <v>2595</v>
      </c>
      <c r="B32" s="29" t="s">
        <v>1957</v>
      </c>
      <c r="C32" s="8" t="s">
        <v>2597</v>
      </c>
      <c r="D32" s="31">
        <v>7.86</v>
      </c>
      <c r="E32" s="46"/>
    </row>
    <row r="33" spans="1:5" ht="12.75" outlineLevel="2">
      <c r="A33" s="8" t="s">
        <v>703</v>
      </c>
      <c r="B33" s="29" t="s">
        <v>1957</v>
      </c>
      <c r="C33" s="8" t="s">
        <v>704</v>
      </c>
      <c r="D33" s="31">
        <v>39.3</v>
      </c>
      <c r="E33" s="46"/>
    </row>
    <row r="34" spans="1:5" ht="12.75" outlineLevel="2">
      <c r="A34" s="8" t="s">
        <v>403</v>
      </c>
      <c r="B34" s="29" t="s">
        <v>1957</v>
      </c>
      <c r="C34" s="8" t="s">
        <v>2666</v>
      </c>
      <c r="D34" s="31">
        <v>278</v>
      </c>
      <c r="E34" s="46"/>
    </row>
    <row r="35" spans="1:5" ht="12.75" outlineLevel="2">
      <c r="A35" s="8" t="s">
        <v>2726</v>
      </c>
      <c r="B35" s="29" t="s">
        <v>1957</v>
      </c>
      <c r="C35" s="8" t="s">
        <v>1200</v>
      </c>
      <c r="D35" s="31">
        <f>7500/2</f>
        <v>3750</v>
      </c>
      <c r="E35" s="46"/>
    </row>
    <row r="36" spans="1:5" ht="12.75" outlineLevel="2">
      <c r="A36" s="8" t="s">
        <v>1235</v>
      </c>
      <c r="B36" s="29" t="s">
        <v>1957</v>
      </c>
      <c r="C36" s="8" t="s">
        <v>1238</v>
      </c>
      <c r="D36" s="31">
        <v>585</v>
      </c>
      <c r="E36" s="46"/>
    </row>
    <row r="37" spans="1:5" ht="12.75" outlineLevel="2">
      <c r="A37" s="8" t="s">
        <v>1813</v>
      </c>
      <c r="B37" s="29" t="s">
        <v>1958</v>
      </c>
      <c r="C37" s="8" t="s">
        <v>1817</v>
      </c>
      <c r="D37" s="31">
        <v>128.72</v>
      </c>
      <c r="E37" s="46"/>
    </row>
    <row r="38" spans="1:5" ht="12.75" outlineLevel="2">
      <c r="A38" s="8" t="s">
        <v>2750</v>
      </c>
      <c r="B38" s="29" t="s">
        <v>1958</v>
      </c>
      <c r="C38" s="8" t="s">
        <v>887</v>
      </c>
      <c r="D38" s="31">
        <v>732</v>
      </c>
      <c r="E38" s="46"/>
    </row>
    <row r="39" spans="1:5" ht="12.75" outlineLevel="2">
      <c r="A39" s="8" t="s">
        <v>866</v>
      </c>
      <c r="B39" s="29" t="s">
        <v>1958</v>
      </c>
      <c r="C39" s="8" t="s">
        <v>867</v>
      </c>
      <c r="D39" s="31">
        <v>1826</v>
      </c>
      <c r="E39" s="46"/>
    </row>
    <row r="40" spans="1:5" ht="12.75" outlineLevel="2">
      <c r="A40" s="8" t="s">
        <v>2135</v>
      </c>
      <c r="B40" s="29" t="s">
        <v>1959</v>
      </c>
      <c r="C40" s="8" t="s">
        <v>2136</v>
      </c>
      <c r="D40" s="31">
        <v>30516</v>
      </c>
      <c r="E40" s="46"/>
    </row>
    <row r="41" spans="1:5" ht="12.75" outlineLevel="2">
      <c r="A41" s="8" t="s">
        <v>387</v>
      </c>
      <c r="B41" s="29" t="s">
        <v>1959</v>
      </c>
      <c r="C41" s="8" t="s">
        <v>388</v>
      </c>
      <c r="D41" s="31">
        <v>11771</v>
      </c>
      <c r="E41" s="46"/>
    </row>
    <row r="42" spans="1:5" ht="12.75" outlineLevel="2">
      <c r="A42" s="8" t="s">
        <v>1149</v>
      </c>
      <c r="B42" s="29" t="s">
        <v>1959</v>
      </c>
      <c r="C42" s="8" t="s">
        <v>396</v>
      </c>
      <c r="D42" s="31">
        <v>627.71</v>
      </c>
      <c r="E42" s="46"/>
    </row>
    <row r="43" spans="1:5" ht="12.75" outlineLevel="2">
      <c r="A43" s="8" t="s">
        <v>10</v>
      </c>
      <c r="B43" s="29" t="s">
        <v>1960</v>
      </c>
      <c r="C43" s="8" t="s">
        <v>2760</v>
      </c>
      <c r="D43" s="31">
        <v>4106.84</v>
      </c>
      <c r="E43" s="46"/>
    </row>
    <row r="44" spans="1:5" ht="12.75" outlineLevel="2">
      <c r="A44" s="8" t="s">
        <v>939</v>
      </c>
      <c r="B44" s="29" t="s">
        <v>1960</v>
      </c>
      <c r="C44" s="8" t="s">
        <v>917</v>
      </c>
      <c r="D44" s="31">
        <v>2272.8</v>
      </c>
      <c r="E44" s="46"/>
    </row>
    <row r="45" spans="1:5" ht="12.75" outlineLevel="2">
      <c r="A45" s="8" t="s">
        <v>1980</v>
      </c>
      <c r="B45" s="29" t="s">
        <v>1961</v>
      </c>
      <c r="C45" s="8" t="s">
        <v>739</v>
      </c>
      <c r="D45" s="31">
        <v>787</v>
      </c>
      <c r="E45" s="46"/>
    </row>
    <row r="46" spans="1:5" ht="12.75" outlineLevel="2">
      <c r="A46" s="8" t="s">
        <v>1369</v>
      </c>
      <c r="B46" s="29" t="s">
        <v>1961</v>
      </c>
      <c r="C46" s="8" t="s">
        <v>1370</v>
      </c>
      <c r="D46" s="31">
        <v>10602.07</v>
      </c>
      <c r="E46" s="46"/>
    </row>
    <row r="47" spans="1:5" ht="12.75" outlineLevel="2">
      <c r="A47" s="8" t="s">
        <v>1647</v>
      </c>
      <c r="B47" s="29" t="s">
        <v>1961</v>
      </c>
      <c r="C47" s="8" t="s">
        <v>1516</v>
      </c>
      <c r="D47" s="31">
        <v>31.45</v>
      </c>
      <c r="E47" s="46"/>
    </row>
    <row r="48" spans="1:5" ht="12.75" outlineLevel="2">
      <c r="A48" s="8" t="s">
        <v>1649</v>
      </c>
      <c r="B48" s="29" t="s">
        <v>1961</v>
      </c>
      <c r="C48" s="8" t="s">
        <v>1516</v>
      </c>
      <c r="D48" s="31">
        <v>23.58</v>
      </c>
      <c r="E48" s="46"/>
    </row>
    <row r="49" spans="1:5" ht="25.5" outlineLevel="2">
      <c r="A49" s="8" t="s">
        <v>1650</v>
      </c>
      <c r="B49" s="29" t="s">
        <v>1961</v>
      </c>
      <c r="C49" s="8" t="s">
        <v>1516</v>
      </c>
      <c r="D49" s="31">
        <v>110.06</v>
      </c>
      <c r="E49" s="46"/>
    </row>
    <row r="50" spans="1:5" ht="12.75" outlineLevel="2">
      <c r="A50" s="8" t="s">
        <v>1651</v>
      </c>
      <c r="B50" s="29" t="s">
        <v>1961</v>
      </c>
      <c r="C50" s="8" t="s">
        <v>1516</v>
      </c>
      <c r="D50" s="31">
        <v>7.86</v>
      </c>
      <c r="E50" s="46"/>
    </row>
    <row r="51" spans="1:5" ht="25.5" outlineLevel="2">
      <c r="A51" s="8" t="s">
        <v>1648</v>
      </c>
      <c r="B51" s="29" t="s">
        <v>1961</v>
      </c>
      <c r="C51" s="8" t="s">
        <v>1516</v>
      </c>
      <c r="D51" s="31">
        <v>78.62</v>
      </c>
      <c r="E51" s="46"/>
    </row>
    <row r="52" spans="1:5" ht="25.5" outlineLevel="2">
      <c r="A52" s="8" t="s">
        <v>1653</v>
      </c>
      <c r="B52" s="29" t="s">
        <v>1961</v>
      </c>
      <c r="C52" s="55" t="s">
        <v>2727</v>
      </c>
      <c r="D52" s="84">
        <v>4698.51</v>
      </c>
      <c r="E52" s="46"/>
    </row>
    <row r="53" spans="1:5" ht="12.75" outlineLevel="2">
      <c r="A53" s="8" t="s">
        <v>1437</v>
      </c>
      <c r="B53" s="29" t="s">
        <v>1961</v>
      </c>
      <c r="C53" s="8" t="s">
        <v>1438</v>
      </c>
      <c r="D53" s="31">
        <v>4307</v>
      </c>
      <c r="E53" s="46"/>
    </row>
    <row r="54" spans="1:5" ht="12.75" outlineLevel="1">
      <c r="A54" s="117" t="s">
        <v>1340</v>
      </c>
      <c r="B54" s="118"/>
      <c r="C54" s="119"/>
      <c r="D54" s="28">
        <f>SUM(D55:D60)</f>
        <v>9862.67</v>
      </c>
      <c r="E54" s="46"/>
    </row>
    <row r="55" spans="1:5" ht="12.75" outlineLevel="2">
      <c r="A55" s="9" t="s">
        <v>1709</v>
      </c>
      <c r="B55" s="29" t="s">
        <v>849</v>
      </c>
      <c r="C55" s="7" t="s">
        <v>1710</v>
      </c>
      <c r="D55" s="30">
        <v>1249</v>
      </c>
      <c r="E55" s="46"/>
    </row>
    <row r="56" spans="1:5" ht="12.75" outlineLevel="2">
      <c r="A56" s="9" t="s">
        <v>1905</v>
      </c>
      <c r="B56" s="29" t="s">
        <v>849</v>
      </c>
      <c r="C56" s="7" t="s">
        <v>1904</v>
      </c>
      <c r="D56" s="30">
        <v>5117</v>
      </c>
      <c r="E56" s="46"/>
    </row>
    <row r="57" spans="1:5" ht="25.5" outlineLevel="2">
      <c r="A57" s="7" t="s">
        <v>979</v>
      </c>
      <c r="B57" s="29" t="s">
        <v>1955</v>
      </c>
      <c r="C57" s="7" t="s">
        <v>2264</v>
      </c>
      <c r="D57" s="100">
        <v>1668</v>
      </c>
      <c r="E57" s="46"/>
    </row>
    <row r="58" spans="1:5" ht="12.75" outlineLevel="2">
      <c r="A58" s="9" t="s">
        <v>169</v>
      </c>
      <c r="B58" s="29" t="s">
        <v>1955</v>
      </c>
      <c r="C58" s="7" t="s">
        <v>171</v>
      </c>
      <c r="D58" s="30">
        <v>177</v>
      </c>
      <c r="E58" s="46"/>
    </row>
    <row r="59" spans="1:5" ht="12.75" outlineLevel="2">
      <c r="A59" s="9" t="s">
        <v>414</v>
      </c>
      <c r="B59" s="29" t="s">
        <v>1957</v>
      </c>
      <c r="C59" s="7" t="s">
        <v>415</v>
      </c>
      <c r="D59" s="30">
        <v>132</v>
      </c>
      <c r="E59" s="46"/>
    </row>
    <row r="60" spans="1:5" ht="12.75" outlineLevel="2">
      <c r="A60" s="9" t="s">
        <v>1982</v>
      </c>
      <c r="B60" s="29" t="s">
        <v>1959</v>
      </c>
      <c r="C60" s="7" t="s">
        <v>1985</v>
      </c>
      <c r="D60" s="30">
        <v>1519.67</v>
      </c>
      <c r="E60" s="46"/>
    </row>
    <row r="61" spans="1:5" ht="12.75" outlineLevel="1">
      <c r="A61" s="117" t="s">
        <v>1342</v>
      </c>
      <c r="B61" s="118"/>
      <c r="C61" s="119"/>
      <c r="D61" s="28">
        <f>SUM(D62:D63)</f>
        <v>45975.11</v>
      </c>
      <c r="E61" s="46"/>
    </row>
    <row r="62" spans="1:5" ht="12.75" outlineLevel="2">
      <c r="A62" s="7" t="s">
        <v>193</v>
      </c>
      <c r="B62" s="29" t="s">
        <v>1960</v>
      </c>
      <c r="C62" s="7" t="s">
        <v>194</v>
      </c>
      <c r="D62" s="30">
        <v>2799.38</v>
      </c>
      <c r="E62" s="46"/>
    </row>
    <row r="63" spans="1:5" ht="12.75" outlineLevel="2">
      <c r="A63" s="7" t="s">
        <v>732</v>
      </c>
      <c r="B63" s="29" t="s">
        <v>1961</v>
      </c>
      <c r="C63" s="7" t="s">
        <v>1157</v>
      </c>
      <c r="D63" s="30">
        <v>43175.73</v>
      </c>
      <c r="E63" s="46"/>
    </row>
    <row r="64" spans="1:5" ht="12.75" outlineLevel="1">
      <c r="A64" s="117" t="s">
        <v>1344</v>
      </c>
      <c r="B64" s="118"/>
      <c r="C64" s="119"/>
      <c r="D64" s="28">
        <f>SUM(D65:D76)</f>
        <v>201133.97999999998</v>
      </c>
      <c r="E64" s="46"/>
    </row>
    <row r="65" spans="1:5" ht="12.75" outlineLevel="2">
      <c r="A65" s="7"/>
      <c r="B65" s="29" t="s">
        <v>849</v>
      </c>
      <c r="C65" s="7" t="s">
        <v>1970</v>
      </c>
      <c r="D65" s="30">
        <f>4187.32+3657.28+1456.02+3444.73+1491.53+1226.51</f>
        <v>15463.390000000001</v>
      </c>
      <c r="E65" s="46"/>
    </row>
    <row r="66" spans="1:5" ht="12.75" outlineLevel="2">
      <c r="A66" s="7"/>
      <c r="B66" s="29" t="s">
        <v>1951</v>
      </c>
      <c r="C66" s="7" t="s">
        <v>1970</v>
      </c>
      <c r="D66" s="30">
        <f>4187.32+3657.28+2173.16+5141.39+2226.17+1378.1</f>
        <v>18763.42</v>
      </c>
      <c r="E66" s="46"/>
    </row>
    <row r="67" spans="1:5" ht="12.75" outlineLevel="2">
      <c r="A67" s="7"/>
      <c r="B67" s="29" t="s">
        <v>1952</v>
      </c>
      <c r="C67" s="7" t="s">
        <v>1970</v>
      </c>
      <c r="D67" s="30">
        <f>4187.32+3657.28+2173.16+5141.39+2226.17+1378.1+318.02</f>
        <v>19081.44</v>
      </c>
      <c r="E67" s="46"/>
    </row>
    <row r="68" spans="1:5" ht="12.75" outlineLevel="2">
      <c r="A68" s="7"/>
      <c r="B68" s="29" t="s">
        <v>1953</v>
      </c>
      <c r="C68" s="7" t="s">
        <v>1970</v>
      </c>
      <c r="D68" s="30">
        <f>4187.32+3233.24+4535.02+1314.5+854.42+286.22</f>
        <v>14410.72</v>
      </c>
      <c r="E68" s="46"/>
    </row>
    <row r="69" spans="1:5" ht="12.75" outlineLevel="2">
      <c r="A69" s="7"/>
      <c r="B69" s="29" t="s">
        <v>1954</v>
      </c>
      <c r="C69" s="7" t="s">
        <v>1970</v>
      </c>
      <c r="D69" s="30">
        <f>4187.32+2809.21+4108.87+1117.85+1139.59+286.22</f>
        <v>13649.06</v>
      </c>
      <c r="E69" s="46"/>
    </row>
    <row r="70" spans="1:5" ht="12.75" outlineLevel="2">
      <c r="A70" s="7"/>
      <c r="B70" s="29" t="s">
        <v>1955</v>
      </c>
      <c r="C70" s="7" t="s">
        <v>1970</v>
      </c>
      <c r="D70" s="30">
        <f>2093.66+1404.61+2194.37+588.34+662.55+848.06</f>
        <v>7791.59</v>
      </c>
      <c r="E70" s="46"/>
    </row>
    <row r="71" spans="1:5" ht="12.75" outlineLevel="2">
      <c r="A71" s="7"/>
      <c r="B71" s="29" t="s">
        <v>1956</v>
      </c>
      <c r="C71" s="7" t="s">
        <v>1970</v>
      </c>
      <c r="D71" s="30">
        <f>4664.35+3127.24+4081.31+903.72+742.06</f>
        <v>13518.679999999998</v>
      </c>
      <c r="E71" s="46"/>
    </row>
    <row r="72" spans="1:5" ht="12.75" outlineLevel="2">
      <c r="A72" s="7"/>
      <c r="B72" s="29" t="s">
        <v>1957</v>
      </c>
      <c r="C72" s="7" t="s">
        <v>1970</v>
      </c>
      <c r="D72" s="30">
        <f>4664.35+3127.24+8162.62+1807.44+1484.11</f>
        <v>19245.76</v>
      </c>
      <c r="E72" s="46"/>
    </row>
    <row r="73" spans="1:5" ht="12.75" outlineLevel="2">
      <c r="A73" s="7"/>
      <c r="B73" s="29" t="s">
        <v>1958</v>
      </c>
      <c r="C73" s="7" t="s">
        <v>1970</v>
      </c>
      <c r="D73" s="30">
        <f>4664.35+3127.24+8162.62+1807.44+1484.11</f>
        <v>19245.76</v>
      </c>
      <c r="E73" s="46"/>
    </row>
    <row r="74" spans="1:5" ht="12.75" outlineLevel="2">
      <c r="A74" s="7"/>
      <c r="B74" s="29" t="s">
        <v>1959</v>
      </c>
      <c r="C74" s="7" t="s">
        <v>1970</v>
      </c>
      <c r="D74" s="30">
        <f>4461.55+3127.24+8162.62+1807.44+638.17</f>
        <v>18197.019999999997</v>
      </c>
      <c r="E74" s="46"/>
    </row>
    <row r="75" spans="1:5" ht="12.75" outlineLevel="2">
      <c r="A75" s="7"/>
      <c r="B75" s="29" t="s">
        <v>1960</v>
      </c>
      <c r="C75" s="7" t="s">
        <v>1970</v>
      </c>
      <c r="D75" s="30">
        <f>4664.35+4081.31+2438.18+5724.43+2491.19+1484.11</f>
        <v>20883.57</v>
      </c>
      <c r="E75" s="46"/>
    </row>
    <row r="76" spans="1:5" ht="12.75" outlineLevel="2">
      <c r="A76" s="11"/>
      <c r="B76" s="29" t="s">
        <v>1961</v>
      </c>
      <c r="C76" s="7" t="s">
        <v>1970</v>
      </c>
      <c r="D76" s="30">
        <f>4664.35+4081.31+2438.18+5724.43+2491.19+1484.11</f>
        <v>20883.57</v>
      </c>
      <c r="E76" s="46"/>
    </row>
    <row r="77" spans="1:5" ht="12.75" outlineLevel="1">
      <c r="A77" s="117" t="s">
        <v>1346</v>
      </c>
      <c r="B77" s="118"/>
      <c r="C77" s="119"/>
      <c r="D77" s="28">
        <f>SUM(D78:D85)</f>
        <v>8014.07</v>
      </c>
      <c r="E77" s="46"/>
    </row>
    <row r="78" spans="1:5" ht="12.75" outlineLevel="2">
      <c r="A78" s="51" t="s">
        <v>2240</v>
      </c>
      <c r="B78" s="29" t="s">
        <v>1952</v>
      </c>
      <c r="C78" s="7" t="s">
        <v>2393</v>
      </c>
      <c r="D78" s="30">
        <v>200</v>
      </c>
      <c r="E78" s="46"/>
    </row>
    <row r="79" spans="1:5" ht="12.75" outlineLevel="2">
      <c r="A79" s="51" t="s">
        <v>2240</v>
      </c>
      <c r="B79" s="29" t="s">
        <v>1952</v>
      </c>
      <c r="C79" s="7" t="s">
        <v>2394</v>
      </c>
      <c r="D79" s="30">
        <v>19.5</v>
      </c>
      <c r="E79" s="46"/>
    </row>
    <row r="80" spans="1:5" ht="12.75" outlineLevel="2">
      <c r="A80" s="51" t="s">
        <v>2240</v>
      </c>
      <c r="B80" s="29" t="s">
        <v>1952</v>
      </c>
      <c r="C80" s="7" t="s">
        <v>2390</v>
      </c>
      <c r="D80" s="30">
        <v>350</v>
      </c>
      <c r="E80" s="46"/>
    </row>
    <row r="81" spans="1:5" ht="12.75" outlineLevel="2">
      <c r="A81" s="7" t="s">
        <v>1701</v>
      </c>
      <c r="B81" s="29" t="s">
        <v>1957</v>
      </c>
      <c r="C81" s="7" t="s">
        <v>1702</v>
      </c>
      <c r="D81" s="30">
        <v>680</v>
      </c>
      <c r="E81" s="46"/>
    </row>
    <row r="82" spans="1:5" ht="12.75" outlineLevel="2">
      <c r="A82" s="7" t="s">
        <v>458</v>
      </c>
      <c r="B82" s="29" t="s">
        <v>1958</v>
      </c>
      <c r="C82" s="7" t="s">
        <v>709</v>
      </c>
      <c r="D82" s="30">
        <v>4063.91</v>
      </c>
      <c r="E82" s="46"/>
    </row>
    <row r="83" spans="1:5" ht="12.75" outlineLevel="2">
      <c r="A83" s="7" t="s">
        <v>1811</v>
      </c>
      <c r="B83" s="29" t="s">
        <v>1958</v>
      </c>
      <c r="C83" s="7" t="s">
        <v>1812</v>
      </c>
      <c r="D83" s="30">
        <v>467.36</v>
      </c>
      <c r="E83" s="46"/>
    </row>
    <row r="84" spans="1:5" ht="12.75" outlineLevel="2">
      <c r="A84" s="51" t="s">
        <v>220</v>
      </c>
      <c r="B84" s="52" t="s">
        <v>1961</v>
      </c>
      <c r="C84" s="51" t="s">
        <v>221</v>
      </c>
      <c r="D84" s="30">
        <v>233.3</v>
      </c>
      <c r="E84" s="46"/>
    </row>
    <row r="85" spans="1:5" ht="12.75" outlineLevel="2">
      <c r="A85" s="51" t="s">
        <v>1418</v>
      </c>
      <c r="B85" s="52" t="s">
        <v>1961</v>
      </c>
      <c r="C85" s="51" t="s">
        <v>1419</v>
      </c>
      <c r="D85" s="30">
        <v>2000</v>
      </c>
      <c r="E85" s="46"/>
    </row>
    <row r="86" spans="1:5" ht="12.75" outlineLevel="1">
      <c r="A86" s="117" t="s">
        <v>1341</v>
      </c>
      <c r="B86" s="118"/>
      <c r="C86" s="119"/>
      <c r="D86" s="28">
        <f>SUM(D87:D97)</f>
        <v>13894.960000000001</v>
      </c>
      <c r="E86" s="46"/>
    </row>
    <row r="87" spans="1:5" ht="12.75" outlineLevel="2">
      <c r="A87" s="7" t="s">
        <v>1191</v>
      </c>
      <c r="B87" s="29" t="s">
        <v>849</v>
      </c>
      <c r="C87" s="7" t="s">
        <v>1193</v>
      </c>
      <c r="D87" s="30">
        <v>1125</v>
      </c>
      <c r="E87" s="46"/>
    </row>
    <row r="88" spans="1:5" ht="12.75" outlineLevel="2">
      <c r="A88" s="7" t="s">
        <v>23</v>
      </c>
      <c r="B88" s="29" t="s">
        <v>1952</v>
      </c>
      <c r="C88" s="7" t="s">
        <v>25</v>
      </c>
      <c r="D88" s="30">
        <v>299</v>
      </c>
      <c r="E88" s="46"/>
    </row>
    <row r="89" spans="1:5" ht="12.75" outlineLevel="2">
      <c r="A89" s="7" t="s">
        <v>529</v>
      </c>
      <c r="B89" s="29" t="s">
        <v>1952</v>
      </c>
      <c r="C89" s="7" t="s">
        <v>530</v>
      </c>
      <c r="D89" s="30">
        <v>8432</v>
      </c>
      <c r="E89" s="46"/>
    </row>
    <row r="90" spans="1:5" ht="12.75" outlineLevel="2">
      <c r="A90" s="7" t="s">
        <v>1250</v>
      </c>
      <c r="B90" s="29" t="s">
        <v>1954</v>
      </c>
      <c r="C90" s="7" t="s">
        <v>1251</v>
      </c>
      <c r="D90" s="30">
        <v>955</v>
      </c>
      <c r="E90" s="46"/>
    </row>
    <row r="92" spans="1:5" ht="12.75" outlineLevel="2">
      <c r="A92" s="7" t="s">
        <v>410</v>
      </c>
      <c r="B92" s="29" t="s">
        <v>1957</v>
      </c>
      <c r="C92" s="7" t="s">
        <v>411</v>
      </c>
      <c r="D92" s="30">
        <v>1309</v>
      </c>
      <c r="E92" s="46"/>
    </row>
    <row r="93" spans="1:5" ht="12.75" outlineLevel="2">
      <c r="A93" s="7" t="s">
        <v>2495</v>
      </c>
      <c r="B93" s="29" t="s">
        <v>1959</v>
      </c>
      <c r="C93" s="7" t="s">
        <v>2497</v>
      </c>
      <c r="D93" s="30">
        <v>341.86</v>
      </c>
      <c r="E93" s="46"/>
    </row>
    <row r="94" spans="1:5" ht="12.75" outlineLevel="2">
      <c r="A94" s="7" t="s">
        <v>2431</v>
      </c>
      <c r="B94" s="29" t="s">
        <v>1959</v>
      </c>
      <c r="C94" s="7" t="s">
        <v>2433</v>
      </c>
      <c r="D94" s="30">
        <v>235.81</v>
      </c>
      <c r="E94" s="46"/>
    </row>
    <row r="95" spans="1:5" ht="12.75" outlineLevel="2">
      <c r="A95" s="7" t="s">
        <v>242</v>
      </c>
      <c r="B95" s="29" t="s">
        <v>1960</v>
      </c>
      <c r="C95" s="7" t="s">
        <v>243</v>
      </c>
      <c r="D95" s="30">
        <v>106.27</v>
      </c>
      <c r="E95" s="46"/>
    </row>
    <row r="96" spans="1:5" ht="12.75" outlineLevel="2">
      <c r="A96" s="7" t="s">
        <v>1420</v>
      </c>
      <c r="B96" s="29" t="s">
        <v>1961</v>
      </c>
      <c r="C96" s="7" t="s">
        <v>1422</v>
      </c>
      <c r="D96" s="30">
        <v>335.25</v>
      </c>
      <c r="E96" s="46"/>
    </row>
    <row r="97" spans="1:5" ht="12.75" outlineLevel="2">
      <c r="A97" s="51" t="s">
        <v>1481</v>
      </c>
      <c r="B97" s="52" t="s">
        <v>1961</v>
      </c>
      <c r="C97" s="51" t="s">
        <v>2247</v>
      </c>
      <c r="D97" s="30">
        <v>755.77</v>
      </c>
      <c r="E97" s="46"/>
    </row>
    <row r="98" spans="1:5" ht="12.75" outlineLevel="1">
      <c r="A98" s="117" t="s">
        <v>1347</v>
      </c>
      <c r="B98" s="118"/>
      <c r="C98" s="119"/>
      <c r="D98" s="28">
        <f>SUM(D99:D99)</f>
        <v>9444.62</v>
      </c>
      <c r="E98" s="46"/>
    </row>
    <row r="99" spans="1:5" ht="12.75" outlineLevel="2">
      <c r="A99" s="11"/>
      <c r="B99" s="29"/>
      <c r="C99" s="7" t="s">
        <v>239</v>
      </c>
      <c r="D99" s="30">
        <v>9444.62</v>
      </c>
      <c r="E99" s="46"/>
    </row>
    <row r="100" spans="1:5" ht="12.75" customHeight="1">
      <c r="A100" s="129" t="s">
        <v>1349</v>
      </c>
      <c r="B100" s="130"/>
      <c r="C100" s="131"/>
      <c r="D100" s="32">
        <f>SUM(D101:D101)</f>
        <v>133850</v>
      </c>
      <c r="E100" s="45"/>
    </row>
    <row r="101" spans="1:5" ht="12.75" outlineLevel="1">
      <c r="A101" s="13"/>
      <c r="B101" s="52" t="s">
        <v>1956</v>
      </c>
      <c r="C101" s="63" t="s">
        <v>1603</v>
      </c>
      <c r="D101" s="36">
        <v>133850</v>
      </c>
      <c r="E101" s="46"/>
    </row>
    <row r="102" spans="1:6" ht="12.75">
      <c r="A102" s="6">
        <v>5300.9</v>
      </c>
      <c r="B102" s="6" t="s">
        <v>1356</v>
      </c>
      <c r="C102" s="37" t="s">
        <v>1345</v>
      </c>
      <c r="D102" s="23">
        <f>(5300.9*6*1.46)+(5300.9*6*1.63)</f>
        <v>98278.68599999999</v>
      </c>
      <c r="E102" s="46"/>
      <c r="F102" s="37" t="s">
        <v>1352</v>
      </c>
    </row>
    <row r="103" spans="1:6" ht="12.75">
      <c r="A103" s="6">
        <v>5300.9</v>
      </c>
      <c r="B103" s="6" t="s">
        <v>1356</v>
      </c>
      <c r="C103" s="37" t="s">
        <v>1357</v>
      </c>
      <c r="D103" s="23">
        <f>(5300.9*6*0.1)+(5300.9*6*0.11)</f>
        <v>6679.134</v>
      </c>
      <c r="E103" s="46"/>
      <c r="F103" s="37" t="s">
        <v>1351</v>
      </c>
    </row>
    <row r="104" spans="1:6" ht="12.75" customHeight="1">
      <c r="A104" s="125" t="s">
        <v>1350</v>
      </c>
      <c r="B104" s="126"/>
      <c r="C104" s="127"/>
      <c r="D104" s="67">
        <f>(5300.9*6*1.57)+(5300.9*6*1.75)</f>
        <v>105593.92799999999</v>
      </c>
      <c r="E104" s="48"/>
      <c r="F104" s="14" t="s">
        <v>788</v>
      </c>
    </row>
    <row r="105" spans="1:6" ht="12.75" customHeight="1">
      <c r="A105" s="125" t="s">
        <v>1362</v>
      </c>
      <c r="B105" s="126"/>
      <c r="C105" s="127"/>
      <c r="D105" s="16">
        <f>10.3*(D107+D108)/100</f>
        <v>141193.19413000002</v>
      </c>
      <c r="E105" s="48"/>
      <c r="F105" s="14" t="s">
        <v>789</v>
      </c>
    </row>
    <row r="106" spans="1:6" ht="12.75" customHeight="1">
      <c r="A106" s="120" t="s">
        <v>1363</v>
      </c>
      <c r="B106" s="121"/>
      <c r="C106" s="122"/>
      <c r="D106" s="41">
        <f>D105+D104+D6+D3</f>
        <v>1012563.34213</v>
      </c>
      <c r="E106" s="48">
        <v>1</v>
      </c>
      <c r="F106" s="14" t="s">
        <v>790</v>
      </c>
    </row>
    <row r="107" spans="1:6" ht="12.75" customHeight="1">
      <c r="A107" s="114" t="s">
        <v>1364</v>
      </c>
      <c r="B107" s="115"/>
      <c r="C107" s="116"/>
      <c r="D107" s="18">
        <v>1195878.66</v>
      </c>
      <c r="E107" s="48">
        <v>2</v>
      </c>
      <c r="F107" s="27"/>
    </row>
    <row r="108" spans="1:6" ht="12.75" customHeight="1">
      <c r="A108" s="114" t="s">
        <v>1365</v>
      </c>
      <c r="B108" s="115"/>
      <c r="C108" s="116"/>
      <c r="D108" s="18">
        <v>174929.05</v>
      </c>
      <c r="E108" s="48">
        <v>3</v>
      </c>
      <c r="F108" s="37" t="s">
        <v>1352</v>
      </c>
    </row>
    <row r="109" spans="1:6" ht="12.75" customHeight="1">
      <c r="A109" s="114" t="s">
        <v>2221</v>
      </c>
      <c r="B109" s="115"/>
      <c r="C109" s="116"/>
      <c r="D109" s="19">
        <f>1300125.72+D107</f>
        <v>2496004.38</v>
      </c>
      <c r="E109" s="48">
        <v>4</v>
      </c>
      <c r="F109" s="37" t="s">
        <v>791</v>
      </c>
    </row>
    <row r="110" spans="1:6" ht="13.5" customHeight="1">
      <c r="A110" s="114" t="s">
        <v>2222</v>
      </c>
      <c r="B110" s="115"/>
      <c r="C110" s="116"/>
      <c r="D110" s="19">
        <f>1025550.59+D115</f>
        <v>2073334.98</v>
      </c>
      <c r="E110" s="48">
        <v>5</v>
      </c>
      <c r="F110" s="14" t="s">
        <v>843</v>
      </c>
    </row>
    <row r="111" spans="1:6" ht="25.5" customHeight="1">
      <c r="A111" s="120" t="s">
        <v>2223</v>
      </c>
      <c r="B111" s="121"/>
      <c r="C111" s="122"/>
      <c r="D111" s="42">
        <f>1072441.28+D106</f>
        <v>2085004.62213</v>
      </c>
      <c r="E111" s="48">
        <v>6</v>
      </c>
      <c r="F111" s="14" t="s">
        <v>844</v>
      </c>
    </row>
    <row r="112" spans="1:6" ht="12.75" customHeight="1">
      <c r="A112" s="114" t="s">
        <v>2224</v>
      </c>
      <c r="B112" s="115"/>
      <c r="C112" s="116"/>
      <c r="D112" s="19">
        <f>200850.7+D108</f>
        <v>375779.75</v>
      </c>
      <c r="E112" s="48">
        <v>7</v>
      </c>
      <c r="F112" s="14" t="s">
        <v>845</v>
      </c>
    </row>
    <row r="113" spans="1:6" ht="12.75" customHeight="1">
      <c r="A113" s="114" t="s">
        <v>2225</v>
      </c>
      <c r="B113" s="115"/>
      <c r="C113" s="116"/>
      <c r="D113" s="19">
        <f>151195.3+D116</f>
        <v>304461.63</v>
      </c>
      <c r="E113" s="48">
        <v>8</v>
      </c>
      <c r="F113" s="14" t="s">
        <v>787</v>
      </c>
    </row>
    <row r="114" spans="1:6" ht="12.75" customHeight="1">
      <c r="A114" s="120" t="s">
        <v>2226</v>
      </c>
      <c r="B114" s="121"/>
      <c r="C114" s="122"/>
      <c r="D114" s="42">
        <f>0+D117</f>
        <v>133850</v>
      </c>
      <c r="E114" s="48">
        <v>9</v>
      </c>
      <c r="F114" s="14" t="s">
        <v>846</v>
      </c>
    </row>
    <row r="115" spans="1:6" ht="12.75" customHeight="1">
      <c r="A115" s="114" t="s">
        <v>779</v>
      </c>
      <c r="B115" s="115"/>
      <c r="C115" s="116"/>
      <c r="D115" s="18">
        <v>1047784.39</v>
      </c>
      <c r="E115" s="48">
        <v>10</v>
      </c>
      <c r="F115" s="14" t="s">
        <v>847</v>
      </c>
    </row>
    <row r="116" spans="1:6" ht="12.75" customHeight="1">
      <c r="A116" s="114" t="s">
        <v>780</v>
      </c>
      <c r="B116" s="115"/>
      <c r="C116" s="116"/>
      <c r="D116" s="18">
        <v>153266.33</v>
      </c>
      <c r="E116" s="48">
        <v>11</v>
      </c>
      <c r="F116" s="14" t="s">
        <v>848</v>
      </c>
    </row>
    <row r="117" spans="1:6" ht="12.75" customHeight="1">
      <c r="A117" s="120" t="s">
        <v>781</v>
      </c>
      <c r="B117" s="121"/>
      <c r="C117" s="122"/>
      <c r="D117" s="41">
        <f>D100</f>
        <v>133850</v>
      </c>
      <c r="E117" s="48">
        <v>12</v>
      </c>
      <c r="F117" s="43"/>
    </row>
    <row r="118" spans="1:6" ht="27" customHeight="1">
      <c r="A118" s="108" t="s">
        <v>782</v>
      </c>
      <c r="B118" s="109"/>
      <c r="C118" s="110"/>
      <c r="D118" s="26">
        <f>D109-D111</f>
        <v>410999.75786999986</v>
      </c>
      <c r="E118" s="48">
        <v>13</v>
      </c>
      <c r="F118" s="43"/>
    </row>
    <row r="119" spans="1:6" ht="25.5" customHeight="1">
      <c r="A119" s="108" t="s">
        <v>783</v>
      </c>
      <c r="B119" s="109"/>
      <c r="C119" s="110"/>
      <c r="D119" s="26">
        <f>D112-D114</f>
        <v>241929.75</v>
      </c>
      <c r="E119" s="48">
        <v>14</v>
      </c>
      <c r="F119" s="43"/>
    </row>
    <row r="120" spans="1:6" ht="25.5" customHeight="1">
      <c r="A120" s="108" t="s">
        <v>718</v>
      </c>
      <c r="B120" s="109"/>
      <c r="C120" s="110"/>
      <c r="D120" s="26">
        <f>D110-D111</f>
        <v>-11669.642130000051</v>
      </c>
      <c r="E120" s="48">
        <v>15</v>
      </c>
      <c r="F120" s="43"/>
    </row>
    <row r="121" ht="12.75">
      <c r="F121" s="43"/>
    </row>
  </sheetData>
  <sheetProtection/>
  <mergeCells count="29">
    <mergeCell ref="A104:C104"/>
    <mergeCell ref="A105:C105"/>
    <mergeCell ref="A54:C54"/>
    <mergeCell ref="A61:C61"/>
    <mergeCell ref="A3:C3"/>
    <mergeCell ref="A4:C4"/>
    <mergeCell ref="A6:C6"/>
    <mergeCell ref="A7:C7"/>
    <mergeCell ref="A64:C64"/>
    <mergeCell ref="A1:D1"/>
    <mergeCell ref="A119:C119"/>
    <mergeCell ref="A109:C109"/>
    <mergeCell ref="A111:C111"/>
    <mergeCell ref="A112:C112"/>
    <mergeCell ref="A100:C100"/>
    <mergeCell ref="A108:C108"/>
    <mergeCell ref="A110:C110"/>
    <mergeCell ref="A86:C86"/>
    <mergeCell ref="A98:C98"/>
    <mergeCell ref="A77:C77"/>
    <mergeCell ref="A120:C120"/>
    <mergeCell ref="A113:C113"/>
    <mergeCell ref="A114:C114"/>
    <mergeCell ref="A115:C115"/>
    <mergeCell ref="A116:C116"/>
    <mergeCell ref="A117:C117"/>
    <mergeCell ref="A118:C118"/>
    <mergeCell ref="A106:C106"/>
    <mergeCell ref="A107:C107"/>
  </mergeCells>
  <printOptions/>
  <pageMargins left="0.17" right="0.7" top="0.75" bottom="0.87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85" sqref="A1:D85"/>
    </sheetView>
  </sheetViews>
  <sheetFormatPr defaultColWidth="13.421875" defaultRowHeight="12.75" outlineLevelRow="2"/>
  <cols>
    <col min="1" max="1" width="14.281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0.75" customHeight="1" thickBot="1">
      <c r="A1" s="135" t="s">
        <v>1604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D4+D6</f>
        <v>44214.22</v>
      </c>
      <c r="E3" s="45"/>
    </row>
    <row r="4" spans="1:5" ht="12.75" outlineLevel="1">
      <c r="A4" s="117" t="s">
        <v>1354</v>
      </c>
      <c r="B4" s="118"/>
      <c r="C4" s="119"/>
      <c r="D4" s="28">
        <f>SUM(D5:D5)</f>
        <v>40189.65</v>
      </c>
      <c r="E4" s="46"/>
    </row>
    <row r="5" spans="1:5" ht="12.75" outlineLevel="2">
      <c r="A5" s="7" t="s">
        <v>1987</v>
      </c>
      <c r="B5" s="29" t="s">
        <v>1959</v>
      </c>
      <c r="C5" s="13" t="s">
        <v>1988</v>
      </c>
      <c r="D5" s="30">
        <v>40189.65</v>
      </c>
      <c r="E5" s="46"/>
    </row>
    <row r="6" spans="1:5" ht="12.75" outlineLevel="1">
      <c r="A6" s="117" t="s">
        <v>1342</v>
      </c>
      <c r="B6" s="118"/>
      <c r="C6" s="119"/>
      <c r="D6" s="28">
        <f>SUM(D7:D7)</f>
        <v>4024.57</v>
      </c>
      <c r="E6" s="46"/>
    </row>
    <row r="7" spans="1:5" ht="25.5" outlineLevel="2">
      <c r="A7" s="7" t="s">
        <v>1721</v>
      </c>
      <c r="B7" s="29" t="s">
        <v>1960</v>
      </c>
      <c r="C7" s="7" t="s">
        <v>2761</v>
      </c>
      <c r="D7" s="30">
        <v>4024.57</v>
      </c>
      <c r="E7" s="46"/>
    </row>
    <row r="8" spans="1:5" ht="13.5" customHeight="1" thickBot="1">
      <c r="A8" s="124" t="s">
        <v>1343</v>
      </c>
      <c r="B8" s="124"/>
      <c r="C8" s="124"/>
      <c r="D8" s="25">
        <f>D9+D29+D33+D35+D48+D60+D64+D65</f>
        <v>188018.42999999996</v>
      </c>
      <c r="E8" s="45"/>
    </row>
    <row r="9" spans="1:5" ht="13.5" outlineLevel="1" thickTop="1">
      <c r="A9" s="111" t="s">
        <v>1354</v>
      </c>
      <c r="B9" s="112"/>
      <c r="C9" s="113"/>
      <c r="D9" s="28">
        <f>SUM(D10:D28)</f>
        <v>77987.65999999999</v>
      </c>
      <c r="E9" s="46"/>
    </row>
    <row r="10" spans="1:5" ht="12.75" outlineLevel="2">
      <c r="A10" s="7" t="s">
        <v>2173</v>
      </c>
      <c r="B10" s="29" t="s">
        <v>849</v>
      </c>
      <c r="C10" s="7" t="s">
        <v>2174</v>
      </c>
      <c r="D10" s="30">
        <v>94.7</v>
      </c>
      <c r="E10" s="46"/>
    </row>
    <row r="11" spans="1:5" ht="12.75" outlineLevel="2">
      <c r="A11" s="7" t="s">
        <v>2182</v>
      </c>
      <c r="B11" s="29" t="s">
        <v>849</v>
      </c>
      <c r="C11" s="7" t="s">
        <v>2174</v>
      </c>
      <c r="D11" s="30">
        <v>108.22</v>
      </c>
      <c r="E11" s="46"/>
    </row>
    <row r="12" spans="1:5" ht="12.75" outlineLevel="2">
      <c r="A12" s="51" t="s">
        <v>2207</v>
      </c>
      <c r="B12" s="52" t="s">
        <v>849</v>
      </c>
      <c r="C12" s="51" t="s">
        <v>2200</v>
      </c>
      <c r="D12" s="30">
        <v>94.7</v>
      </c>
      <c r="E12" s="46"/>
    </row>
    <row r="13" spans="1:5" ht="12.75" outlineLevel="2">
      <c r="A13" s="51" t="s">
        <v>696</v>
      </c>
      <c r="B13" s="52" t="s">
        <v>1951</v>
      </c>
      <c r="C13" s="51" t="s">
        <v>697</v>
      </c>
      <c r="D13" s="30">
        <v>1434</v>
      </c>
      <c r="E13" s="46"/>
    </row>
    <row r="14" spans="1:5" ht="12.75" outlineLevel="2">
      <c r="A14" s="7" t="s">
        <v>1676</v>
      </c>
      <c r="B14" s="29" t="s">
        <v>1952</v>
      </c>
      <c r="C14" s="7" t="s">
        <v>1677</v>
      </c>
      <c r="D14" s="30">
        <v>13025</v>
      </c>
      <c r="E14" s="46"/>
    </row>
    <row r="15" spans="1:5" ht="12.75" outlineLevel="2">
      <c r="A15" s="7" t="s">
        <v>2376</v>
      </c>
      <c r="B15" s="29" t="s">
        <v>1952</v>
      </c>
      <c r="C15" s="7" t="s">
        <v>2375</v>
      </c>
      <c r="D15" s="30">
        <v>94.7</v>
      </c>
      <c r="E15" s="46"/>
    </row>
    <row r="16" spans="1:5" ht="12.75" outlineLevel="2">
      <c r="A16" s="7" t="s">
        <v>2546</v>
      </c>
      <c r="B16" s="29" t="s">
        <v>1953</v>
      </c>
      <c r="C16" s="7" t="s">
        <v>2547</v>
      </c>
      <c r="D16" s="30">
        <v>2035</v>
      </c>
      <c r="E16" s="46"/>
    </row>
    <row r="17" spans="1:5" ht="12.75" outlineLevel="2">
      <c r="A17" s="7" t="s">
        <v>1317</v>
      </c>
      <c r="B17" s="29" t="s">
        <v>1953</v>
      </c>
      <c r="C17" s="7" t="s">
        <v>2200</v>
      </c>
      <c r="D17" s="30">
        <v>7.98</v>
      </c>
      <c r="E17" s="46"/>
    </row>
    <row r="18" spans="1:5" ht="12.75" outlineLevel="2">
      <c r="A18" s="8" t="s">
        <v>2793</v>
      </c>
      <c r="B18" s="29" t="s">
        <v>1954</v>
      </c>
      <c r="C18" s="8" t="s">
        <v>1328</v>
      </c>
      <c r="D18" s="31">
        <v>189.4</v>
      </c>
      <c r="E18" s="46"/>
    </row>
    <row r="19" spans="1:5" ht="12.75" outlineLevel="2">
      <c r="A19" s="8" t="s">
        <v>404</v>
      </c>
      <c r="B19" s="29" t="s">
        <v>1957</v>
      </c>
      <c r="C19" s="8" t="s">
        <v>2666</v>
      </c>
      <c r="D19" s="30">
        <v>139</v>
      </c>
      <c r="E19" s="46"/>
    </row>
    <row r="20" spans="1:5" ht="12.75" outlineLevel="2">
      <c r="A20" s="8" t="s">
        <v>2726</v>
      </c>
      <c r="B20" s="29" t="s">
        <v>1957</v>
      </c>
      <c r="C20" s="8" t="s">
        <v>1200</v>
      </c>
      <c r="D20" s="31">
        <v>1245</v>
      </c>
      <c r="E20" s="46"/>
    </row>
    <row r="21" spans="1:5" ht="12.75" outlineLevel="2">
      <c r="A21" s="8" t="s">
        <v>1770</v>
      </c>
      <c r="B21" s="29" t="s">
        <v>1769</v>
      </c>
      <c r="C21" s="7" t="s">
        <v>438</v>
      </c>
      <c r="D21" s="30">
        <v>19662</v>
      </c>
      <c r="E21" s="46"/>
    </row>
    <row r="22" spans="1:5" ht="12.75" outlineLevel="2">
      <c r="A22" s="8" t="s">
        <v>345</v>
      </c>
      <c r="B22" s="29" t="s">
        <v>1769</v>
      </c>
      <c r="C22" s="7" t="s">
        <v>346</v>
      </c>
      <c r="D22" s="31">
        <v>1755</v>
      </c>
      <c r="E22" s="46"/>
    </row>
    <row r="23" spans="1:5" ht="12.75" outlineLevel="2">
      <c r="A23" s="8" t="s">
        <v>2008</v>
      </c>
      <c r="B23" s="29" t="s">
        <v>1959</v>
      </c>
      <c r="C23" s="7" t="s">
        <v>2009</v>
      </c>
      <c r="D23" s="31">
        <v>28949</v>
      </c>
      <c r="E23" s="46"/>
    </row>
    <row r="24" spans="1:5" ht="12.75" outlineLevel="2">
      <c r="A24" s="8" t="s">
        <v>10</v>
      </c>
      <c r="B24" s="29" t="s">
        <v>1960</v>
      </c>
      <c r="C24" s="7" t="s">
        <v>2760</v>
      </c>
      <c r="D24" s="31">
        <v>1369.04</v>
      </c>
      <c r="E24" s="46"/>
    </row>
    <row r="25" spans="1:5" ht="12.75" outlineLevel="2">
      <c r="A25" s="8" t="s">
        <v>817</v>
      </c>
      <c r="B25" s="29" t="s">
        <v>1960</v>
      </c>
      <c r="C25" s="7" t="s">
        <v>2760</v>
      </c>
      <c r="D25" s="31">
        <v>1369.04</v>
      </c>
      <c r="E25" s="46"/>
    </row>
    <row r="26" spans="1:5" ht="12.75" outlineLevel="2">
      <c r="A26" s="8" t="s">
        <v>928</v>
      </c>
      <c r="B26" s="29" t="s">
        <v>1960</v>
      </c>
      <c r="C26" s="7" t="s">
        <v>929</v>
      </c>
      <c r="D26" s="31">
        <v>4545.6</v>
      </c>
      <c r="E26" s="46"/>
    </row>
    <row r="27" spans="1:5" ht="14.25" customHeight="1" outlineLevel="2">
      <c r="A27" s="55" t="s">
        <v>2243</v>
      </c>
      <c r="B27" s="29" t="s">
        <v>1961</v>
      </c>
      <c r="C27" s="55" t="s">
        <v>2727</v>
      </c>
      <c r="D27" s="31">
        <v>1566.28</v>
      </c>
      <c r="E27" s="46"/>
    </row>
    <row r="28" spans="1:5" ht="12.75" outlineLevel="2">
      <c r="A28" s="8" t="s">
        <v>757</v>
      </c>
      <c r="B28" s="29" t="s">
        <v>1961</v>
      </c>
      <c r="C28" s="7" t="s">
        <v>758</v>
      </c>
      <c r="D28" s="31">
        <v>304</v>
      </c>
      <c r="E28" s="46"/>
    </row>
    <row r="29" spans="1:5" ht="12.75" outlineLevel="1">
      <c r="A29" s="117" t="s">
        <v>1340</v>
      </c>
      <c r="B29" s="118"/>
      <c r="C29" s="119"/>
      <c r="D29" s="28">
        <f>SUM(D30:D32)</f>
        <v>1909</v>
      </c>
      <c r="E29" s="46"/>
    </row>
    <row r="30" spans="1:5" ht="12.75" outlineLevel="2">
      <c r="A30" s="9" t="s">
        <v>2540</v>
      </c>
      <c r="B30" s="29" t="s">
        <v>1953</v>
      </c>
      <c r="C30" s="7" t="s">
        <v>2545</v>
      </c>
      <c r="D30" s="30">
        <v>92</v>
      </c>
      <c r="E30" s="46"/>
    </row>
    <row r="31" spans="1:5" ht="12.75" outlineLevel="2">
      <c r="A31" s="7" t="s">
        <v>412</v>
      </c>
      <c r="B31" s="29" t="s">
        <v>1957</v>
      </c>
      <c r="C31" s="7" t="s">
        <v>413</v>
      </c>
      <c r="D31" s="30">
        <v>846</v>
      </c>
      <c r="E31" s="46"/>
    </row>
    <row r="32" spans="1:5" ht="12.75" outlineLevel="2">
      <c r="A32" s="9" t="s">
        <v>343</v>
      </c>
      <c r="B32" s="29" t="s">
        <v>1958</v>
      </c>
      <c r="C32" s="7" t="s">
        <v>344</v>
      </c>
      <c r="D32" s="30">
        <v>971</v>
      </c>
      <c r="E32" s="46"/>
    </row>
    <row r="33" spans="1:5" ht="12.75" outlineLevel="1">
      <c r="A33" s="117" t="s">
        <v>1342</v>
      </c>
      <c r="B33" s="118"/>
      <c r="C33" s="119"/>
      <c r="D33" s="28">
        <f>SUM(D34:D34)</f>
        <v>12965.81</v>
      </c>
      <c r="E33" s="46"/>
    </row>
    <row r="34" spans="1:5" ht="12.75" outlineLevel="2">
      <c r="A34" s="72" t="s">
        <v>269</v>
      </c>
      <c r="B34" s="29" t="s">
        <v>1960</v>
      </c>
      <c r="C34" s="7" t="s">
        <v>267</v>
      </c>
      <c r="D34" s="30">
        <v>12965.81</v>
      </c>
      <c r="E34" s="46"/>
    </row>
    <row r="35" spans="1:5" ht="12.75" outlineLevel="1">
      <c r="A35" s="117" t="s">
        <v>1344</v>
      </c>
      <c r="B35" s="118"/>
      <c r="C35" s="119"/>
      <c r="D35" s="28">
        <f>SUM(D36:D47)</f>
        <v>53975.5</v>
      </c>
      <c r="E35" s="46"/>
    </row>
    <row r="36" spans="1:5" ht="12.75" outlineLevel="2">
      <c r="A36" s="7"/>
      <c r="B36" s="29" t="s">
        <v>849</v>
      </c>
      <c r="C36" s="7" t="s">
        <v>1950</v>
      </c>
      <c r="D36" s="30">
        <f>1051.33+918.25+545.63+1290.88+558.94+346.01</f>
        <v>4711.040000000001</v>
      </c>
      <c r="E36" s="46"/>
    </row>
    <row r="37" spans="1:5" ht="12.75" outlineLevel="2">
      <c r="A37" s="7"/>
      <c r="B37" s="29" t="s">
        <v>1951</v>
      </c>
      <c r="C37" s="7" t="s">
        <v>1950</v>
      </c>
      <c r="D37" s="30">
        <f>1051.33+918.25+545.63+1290.88+558.94+346.01</f>
        <v>4711.040000000001</v>
      </c>
      <c r="E37" s="46"/>
    </row>
    <row r="38" spans="1:5" ht="12.75" outlineLevel="2">
      <c r="A38" s="7"/>
      <c r="B38" s="29" t="s">
        <v>1952</v>
      </c>
      <c r="C38" s="7" t="s">
        <v>1950</v>
      </c>
      <c r="D38" s="30">
        <f>1051.33+918.25+545.63+1290.88+558.94+346.01+79.85</f>
        <v>4790.890000000001</v>
      </c>
      <c r="E38" s="46"/>
    </row>
    <row r="39" spans="1:5" ht="12.75" outlineLevel="2">
      <c r="A39" s="7"/>
      <c r="B39" s="29" t="s">
        <v>1953</v>
      </c>
      <c r="C39" s="7" t="s">
        <v>1950</v>
      </c>
      <c r="D39" s="30">
        <f>1051.33+811.79+1395.74+404.56+346.01+68.67</f>
        <v>4078.0999999999995</v>
      </c>
      <c r="E39" s="46"/>
    </row>
    <row r="40" spans="1:5" ht="12.75" outlineLevel="2">
      <c r="A40" s="7"/>
      <c r="B40" s="29" t="s">
        <v>1954</v>
      </c>
      <c r="C40" s="7" t="s">
        <v>1950</v>
      </c>
      <c r="D40" s="30">
        <f>799.01+564.26+1809.89+492.4+332.7+71.86+212.93</f>
        <v>4283.05</v>
      </c>
      <c r="E40" s="46"/>
    </row>
    <row r="41" spans="1:5" ht="12.75" outlineLevel="2">
      <c r="A41" s="7"/>
      <c r="B41" s="29" t="s">
        <v>1955</v>
      </c>
      <c r="C41" s="7" t="s">
        <v>1950</v>
      </c>
      <c r="D41" s="30">
        <f>105.13+352.66+918.25+246.2+166.35</f>
        <v>1788.59</v>
      </c>
      <c r="E41" s="46"/>
    </row>
    <row r="42" spans="1:5" ht="12.75" outlineLevel="2">
      <c r="A42" s="7"/>
      <c r="B42" s="29" t="s">
        <v>1956</v>
      </c>
      <c r="C42" s="7" t="s">
        <v>1950</v>
      </c>
      <c r="D42" s="30">
        <f>1171.1+785.17+2049.43+453.8+372.62</f>
        <v>4832.12</v>
      </c>
      <c r="E42" s="46"/>
    </row>
    <row r="43" spans="1:5" ht="12.75" outlineLevel="2">
      <c r="A43" s="7"/>
      <c r="B43" s="29" t="s">
        <v>1957</v>
      </c>
      <c r="C43" s="7" t="s">
        <v>1950</v>
      </c>
      <c r="D43" s="30">
        <f>1171.1+785.17+2049.43+453.8+372.62</f>
        <v>4832.12</v>
      </c>
      <c r="E43" s="46"/>
    </row>
    <row r="44" spans="1:5" ht="12.75" outlineLevel="2">
      <c r="A44" s="7"/>
      <c r="B44" s="29" t="s">
        <v>1958</v>
      </c>
      <c r="C44" s="7" t="s">
        <v>1950</v>
      </c>
      <c r="D44" s="30">
        <f>1171.1+785.17+2049.43+463.8+372.62</f>
        <v>4842.12</v>
      </c>
      <c r="E44" s="46"/>
    </row>
    <row r="45" spans="1:5" ht="12.75" outlineLevel="2">
      <c r="A45" s="7"/>
      <c r="B45" s="29" t="s">
        <v>1959</v>
      </c>
      <c r="C45" s="7" t="s">
        <v>1950</v>
      </c>
      <c r="D45" s="20">
        <f>1171.1+785.17+2049.43+453.8+160.23</f>
        <v>4619.73</v>
      </c>
      <c r="E45" s="46"/>
    </row>
    <row r="46" spans="1:5" ht="12.75" outlineLevel="2">
      <c r="A46" s="7"/>
      <c r="B46" s="29" t="s">
        <v>1960</v>
      </c>
      <c r="C46" s="7" t="s">
        <v>1950</v>
      </c>
      <c r="D46" s="30">
        <f>1171.1+1024.72+612.17+1437.26+625.48+372.62</f>
        <v>5243.349999999999</v>
      </c>
      <c r="E46" s="46"/>
    </row>
    <row r="47" spans="1:5" ht="12.75" outlineLevel="2">
      <c r="A47" s="11"/>
      <c r="B47" s="29" t="s">
        <v>1961</v>
      </c>
      <c r="C47" s="7" t="s">
        <v>1950</v>
      </c>
      <c r="D47" s="30">
        <f>1171.1+1024.72+612.17+1437.26+625.48+372.62</f>
        <v>5243.349999999999</v>
      </c>
      <c r="E47" s="46"/>
    </row>
    <row r="48" spans="1:5" ht="12.75" outlineLevel="1">
      <c r="A48" s="117" t="s">
        <v>1346</v>
      </c>
      <c r="B48" s="118"/>
      <c r="C48" s="119"/>
      <c r="D48" s="28">
        <f>SUM(D49:D59)</f>
        <v>14482.119999999999</v>
      </c>
      <c r="E48" s="46"/>
    </row>
    <row r="49" spans="1:5" ht="12.75" outlineLevel="2">
      <c r="A49" s="7" t="s">
        <v>1980</v>
      </c>
      <c r="B49" s="29" t="s">
        <v>849</v>
      </c>
      <c r="C49" s="7" t="s">
        <v>1981</v>
      </c>
      <c r="D49" s="30">
        <v>334</v>
      </c>
      <c r="E49" s="46"/>
    </row>
    <row r="50" spans="1:5" ht="12.75" outlineLevel="2">
      <c r="A50" s="7" t="s">
        <v>2057</v>
      </c>
      <c r="B50" s="29" t="s">
        <v>849</v>
      </c>
      <c r="C50" s="7" t="s">
        <v>2056</v>
      </c>
      <c r="D50" s="30">
        <v>1500</v>
      </c>
      <c r="E50" s="46"/>
    </row>
    <row r="51" spans="1:5" ht="12.75" outlineLevel="2">
      <c r="A51" s="7" t="s">
        <v>2058</v>
      </c>
      <c r="B51" s="29" t="s">
        <v>849</v>
      </c>
      <c r="C51" s="7" t="s">
        <v>2056</v>
      </c>
      <c r="D51" s="30">
        <v>2400</v>
      </c>
      <c r="E51" s="46"/>
    </row>
    <row r="52" spans="1:5" ht="12.75" outlineLevel="2">
      <c r="A52" s="7" t="s">
        <v>2193</v>
      </c>
      <c r="B52" s="29" t="s">
        <v>849</v>
      </c>
      <c r="C52" s="7" t="s">
        <v>2194</v>
      </c>
      <c r="D52" s="30">
        <v>543.4</v>
      </c>
      <c r="E52" s="46"/>
    </row>
    <row r="53" spans="1:5" ht="12.75" outlineLevel="2">
      <c r="A53" s="51" t="s">
        <v>2196</v>
      </c>
      <c r="B53" s="52" t="s">
        <v>849</v>
      </c>
      <c r="C53" s="51" t="s">
        <v>2197</v>
      </c>
      <c r="D53" s="30">
        <v>2465.22</v>
      </c>
      <c r="E53" s="46"/>
    </row>
    <row r="54" spans="1:5" ht="12.75" outlineLevel="2">
      <c r="A54" s="7" t="s">
        <v>2384</v>
      </c>
      <c r="B54" s="29" t="s">
        <v>1952</v>
      </c>
      <c r="C54" s="7" t="s">
        <v>2056</v>
      </c>
      <c r="D54" s="30">
        <v>4800</v>
      </c>
      <c r="E54" s="46"/>
    </row>
    <row r="55" spans="1:5" ht="12.75" outlineLevel="2">
      <c r="A55" s="51" t="s">
        <v>2240</v>
      </c>
      <c r="B55" s="29" t="s">
        <v>1952</v>
      </c>
      <c r="C55" s="7" t="s">
        <v>2393</v>
      </c>
      <c r="D55" s="30">
        <v>200</v>
      </c>
      <c r="E55" s="46"/>
    </row>
    <row r="56" spans="1:5" ht="12.75" outlineLevel="2">
      <c r="A56" s="51" t="s">
        <v>2240</v>
      </c>
      <c r="B56" s="29" t="s">
        <v>1952</v>
      </c>
      <c r="C56" s="7" t="s">
        <v>2394</v>
      </c>
      <c r="D56" s="30">
        <v>19.5</v>
      </c>
      <c r="E56" s="46"/>
    </row>
    <row r="57" spans="1:5" ht="12.75" outlineLevel="2">
      <c r="A57" s="51" t="s">
        <v>2240</v>
      </c>
      <c r="B57" s="29" t="s">
        <v>1952</v>
      </c>
      <c r="C57" s="7" t="s">
        <v>2390</v>
      </c>
      <c r="D57" s="30">
        <v>350</v>
      </c>
      <c r="E57" s="46"/>
    </row>
    <row r="58" spans="1:5" ht="12.75" outlineLevel="2">
      <c r="A58" s="7" t="s">
        <v>710</v>
      </c>
      <c r="B58" s="29" t="s">
        <v>1957</v>
      </c>
      <c r="C58" s="7" t="s">
        <v>709</v>
      </c>
      <c r="D58" s="30">
        <v>918</v>
      </c>
      <c r="E58" s="46"/>
    </row>
    <row r="59" spans="1:5" ht="12.75" outlineLevel="2">
      <c r="A59" s="7" t="s">
        <v>1701</v>
      </c>
      <c r="B59" s="29" t="s">
        <v>1957</v>
      </c>
      <c r="C59" s="7" t="s">
        <v>1702</v>
      </c>
      <c r="D59" s="30">
        <v>952</v>
      </c>
      <c r="E59" s="46"/>
    </row>
    <row r="60" spans="1:5" ht="12.75" outlineLevel="1">
      <c r="A60" s="117" t="s">
        <v>1341</v>
      </c>
      <c r="B60" s="118"/>
      <c r="C60" s="119"/>
      <c r="D60" s="28">
        <f>SUM(D61:D63)</f>
        <v>1233.56</v>
      </c>
      <c r="E60" s="46"/>
    </row>
    <row r="61" spans="1:5" ht="12.75" outlineLevel="2">
      <c r="A61" s="7" t="s">
        <v>2369</v>
      </c>
      <c r="B61" s="29" t="s">
        <v>1952</v>
      </c>
      <c r="C61" s="7" t="s">
        <v>2386</v>
      </c>
      <c r="D61" s="30">
        <v>640</v>
      </c>
      <c r="E61" s="46"/>
    </row>
    <row r="62" spans="1:5" ht="12.75" outlineLevel="2">
      <c r="A62" s="7" t="s">
        <v>2022</v>
      </c>
      <c r="B62" s="7" t="s">
        <v>2017</v>
      </c>
      <c r="C62" s="7" t="s">
        <v>2025</v>
      </c>
      <c r="D62" s="30">
        <v>246.28</v>
      </c>
      <c r="E62" s="46"/>
    </row>
    <row r="63" spans="1:5" ht="12.75" outlineLevel="2">
      <c r="A63" s="7" t="s">
        <v>2046</v>
      </c>
      <c r="B63" s="29" t="s">
        <v>2017</v>
      </c>
      <c r="C63" s="7" t="s">
        <v>2048</v>
      </c>
      <c r="D63" s="30">
        <v>347.28</v>
      </c>
      <c r="E63" s="46"/>
    </row>
    <row r="64" spans="1:6" ht="12.75">
      <c r="A64" s="6">
        <v>1286.1</v>
      </c>
      <c r="B64" s="6" t="s">
        <v>1356</v>
      </c>
      <c r="C64" s="37" t="s">
        <v>1345</v>
      </c>
      <c r="D64" s="23">
        <f>(1286.1*6*1.46)+(1286.1*6*1.63)</f>
        <v>23844.293999999998</v>
      </c>
      <c r="E64" s="46"/>
      <c r="F64" s="37" t="s">
        <v>1352</v>
      </c>
    </row>
    <row r="65" spans="1:6" ht="13.5" thickBot="1">
      <c r="A65" s="6">
        <v>1286.1</v>
      </c>
      <c r="B65" s="6" t="s">
        <v>1356</v>
      </c>
      <c r="C65" s="37" t="s">
        <v>1357</v>
      </c>
      <c r="D65" s="23">
        <f>(1286.1*6*0.1)+(1286.1*6*0.11)</f>
        <v>1620.4859999999999</v>
      </c>
      <c r="E65" s="46"/>
      <c r="F65" s="37" t="s">
        <v>1351</v>
      </c>
    </row>
    <row r="66" spans="1:6" ht="12.75" customHeight="1" thickTop="1">
      <c r="A66" s="132" t="s">
        <v>1361</v>
      </c>
      <c r="B66" s="133"/>
      <c r="C66" s="134"/>
      <c r="D66" s="76">
        <f>(1286.1*6*0.94)+(1286.1*6*1.03)</f>
        <v>15201.702</v>
      </c>
      <c r="E66" s="48"/>
      <c r="F66" s="14" t="s">
        <v>787</v>
      </c>
    </row>
    <row r="67" spans="1:6" ht="12.75" customHeight="1">
      <c r="A67" s="125" t="s">
        <v>1350</v>
      </c>
      <c r="B67" s="126"/>
      <c r="C67" s="127"/>
      <c r="D67" s="76">
        <f>(1286.1*6*1.57)+(1286.1*6*1.75)</f>
        <v>25619.112</v>
      </c>
      <c r="E67" s="48"/>
      <c r="F67" s="14" t="s">
        <v>788</v>
      </c>
    </row>
    <row r="68" spans="1:6" ht="12.75" customHeight="1">
      <c r="A68" s="125" t="s">
        <v>1362</v>
      </c>
      <c r="B68" s="126"/>
      <c r="C68" s="127"/>
      <c r="D68" s="18">
        <f>10.3*(D70+D71)/100</f>
        <v>35995.90131</v>
      </c>
      <c r="E68" s="48"/>
      <c r="F68" s="14" t="s">
        <v>789</v>
      </c>
    </row>
    <row r="69" spans="1:6" ht="12.75" customHeight="1">
      <c r="A69" s="120" t="s">
        <v>1363</v>
      </c>
      <c r="B69" s="121"/>
      <c r="C69" s="122"/>
      <c r="D69" s="41">
        <f>D68+D67+D66+D8+D3</f>
        <v>309049.3653099999</v>
      </c>
      <c r="E69" s="48">
        <v>1</v>
      </c>
      <c r="F69" s="14" t="s">
        <v>790</v>
      </c>
    </row>
    <row r="70" spans="1:6" ht="12.75" customHeight="1">
      <c r="A70" s="114" t="s">
        <v>1364</v>
      </c>
      <c r="B70" s="115"/>
      <c r="C70" s="116"/>
      <c r="D70" s="18">
        <v>307033.47</v>
      </c>
      <c r="E70" s="48">
        <v>2</v>
      </c>
      <c r="F70" s="27"/>
    </row>
    <row r="71" spans="1:6" ht="12.75" customHeight="1">
      <c r="A71" s="114" t="s">
        <v>1365</v>
      </c>
      <c r="B71" s="115"/>
      <c r="C71" s="116"/>
      <c r="D71" s="18">
        <v>42441.3</v>
      </c>
      <c r="E71" s="48">
        <v>3</v>
      </c>
      <c r="F71" s="37" t="s">
        <v>1352</v>
      </c>
    </row>
    <row r="72" spans="1:6" ht="12.75" customHeight="1">
      <c r="A72" s="114" t="s">
        <v>2221</v>
      </c>
      <c r="B72" s="115"/>
      <c r="C72" s="116"/>
      <c r="D72" s="19">
        <f>341251.63+D70+D73</f>
        <v>663945.1799999999</v>
      </c>
      <c r="E72" s="48">
        <v>4</v>
      </c>
      <c r="F72" s="37" t="s">
        <v>791</v>
      </c>
    </row>
    <row r="73" spans="1:6" ht="25.5" customHeight="1">
      <c r="A73" s="114" t="s">
        <v>637</v>
      </c>
      <c r="B73" s="115"/>
      <c r="C73" s="116"/>
      <c r="D73" s="19">
        <v>15660.08</v>
      </c>
      <c r="E73" s="48"/>
      <c r="F73" s="37"/>
    </row>
    <row r="74" spans="1:6" ht="13.5" customHeight="1">
      <c r="A74" s="114" t="s">
        <v>2222</v>
      </c>
      <c r="B74" s="115"/>
      <c r="C74" s="116"/>
      <c r="D74" s="19">
        <f>252061.58+D80+D75</f>
        <v>547780.6</v>
      </c>
      <c r="E74" s="48">
        <v>5</v>
      </c>
      <c r="F74" s="14" t="s">
        <v>843</v>
      </c>
    </row>
    <row r="75" spans="1:6" ht="24.75" customHeight="1">
      <c r="A75" s="114" t="s">
        <v>638</v>
      </c>
      <c r="B75" s="115"/>
      <c r="C75" s="116"/>
      <c r="D75" s="19">
        <v>15241.8</v>
      </c>
      <c r="E75" s="48"/>
      <c r="F75" s="14"/>
    </row>
    <row r="76" spans="1:6" ht="25.5" customHeight="1">
      <c r="A76" s="120" t="s">
        <v>2223</v>
      </c>
      <c r="B76" s="121"/>
      <c r="C76" s="122"/>
      <c r="D76" s="42">
        <f>409146.15+D69</f>
        <v>718195.5153099999</v>
      </c>
      <c r="E76" s="48">
        <v>6</v>
      </c>
      <c r="F76" s="14" t="s">
        <v>844</v>
      </c>
    </row>
    <row r="77" spans="1:6" ht="12.75" customHeight="1">
      <c r="A77" s="114" t="s">
        <v>2224</v>
      </c>
      <c r="B77" s="115"/>
      <c r="C77" s="116"/>
      <c r="D77" s="19">
        <f>49808.41+D71</f>
        <v>92249.71</v>
      </c>
      <c r="E77" s="48">
        <v>7</v>
      </c>
      <c r="F77" s="14" t="s">
        <v>845</v>
      </c>
    </row>
    <row r="78" spans="1:6" ht="12.75" customHeight="1">
      <c r="A78" s="114" t="s">
        <v>2225</v>
      </c>
      <c r="B78" s="115"/>
      <c r="C78" s="116"/>
      <c r="D78" s="19">
        <f>35775.04+D81</f>
        <v>74545.45999999999</v>
      </c>
      <c r="E78" s="48">
        <v>8</v>
      </c>
      <c r="F78" s="14" t="s">
        <v>787</v>
      </c>
    </row>
    <row r="79" spans="1:6" ht="12.75" customHeight="1">
      <c r="A79" s="120" t="s">
        <v>2226</v>
      </c>
      <c r="B79" s="121"/>
      <c r="C79" s="122"/>
      <c r="D79" s="42">
        <v>0</v>
      </c>
      <c r="E79" s="48">
        <v>9</v>
      </c>
      <c r="F79" s="14" t="s">
        <v>846</v>
      </c>
    </row>
    <row r="80" spans="1:6" ht="12.75" customHeight="1">
      <c r="A80" s="114" t="s">
        <v>779</v>
      </c>
      <c r="B80" s="115"/>
      <c r="C80" s="116"/>
      <c r="D80" s="18">
        <v>280477.22</v>
      </c>
      <c r="E80" s="48">
        <v>10</v>
      </c>
      <c r="F80" s="14" t="s">
        <v>847</v>
      </c>
    </row>
    <row r="81" spans="1:6" ht="12.75" customHeight="1">
      <c r="A81" s="114" t="s">
        <v>780</v>
      </c>
      <c r="B81" s="115"/>
      <c r="C81" s="116"/>
      <c r="D81" s="18">
        <v>38770.42</v>
      </c>
      <c r="E81" s="48">
        <v>11</v>
      </c>
      <c r="F81" s="14" t="s">
        <v>848</v>
      </c>
    </row>
    <row r="82" spans="1:6" ht="12.75" customHeight="1">
      <c r="A82" s="120" t="s">
        <v>781</v>
      </c>
      <c r="B82" s="121"/>
      <c r="C82" s="122"/>
      <c r="D82" s="41">
        <v>0</v>
      </c>
      <c r="E82" s="48">
        <v>12</v>
      </c>
      <c r="F82" s="43"/>
    </row>
    <row r="83" spans="1:6" ht="27" customHeight="1">
      <c r="A83" s="108" t="s">
        <v>1625</v>
      </c>
      <c r="B83" s="109"/>
      <c r="C83" s="110"/>
      <c r="D83" s="26">
        <f>D72-D76</f>
        <v>-54250.335309999995</v>
      </c>
      <c r="E83" s="48">
        <v>13</v>
      </c>
      <c r="F83" s="43"/>
    </row>
    <row r="84" spans="1:6" ht="25.5" customHeight="1">
      <c r="A84" s="108" t="s">
        <v>783</v>
      </c>
      <c r="B84" s="109"/>
      <c r="C84" s="110"/>
      <c r="D84" s="26">
        <f>D77-D79</f>
        <v>92249.71</v>
      </c>
      <c r="E84" s="48">
        <v>14</v>
      </c>
      <c r="F84" s="43"/>
    </row>
    <row r="85" spans="1:6" ht="25.5" customHeight="1">
      <c r="A85" s="108" t="s">
        <v>718</v>
      </c>
      <c r="B85" s="109"/>
      <c r="C85" s="110"/>
      <c r="D85" s="26">
        <f>D74-D76</f>
        <v>-170414.91530999995</v>
      </c>
      <c r="E85" s="48">
        <v>15</v>
      </c>
      <c r="F85" s="43"/>
    </row>
    <row r="86" ht="12.75">
      <c r="F86" s="43"/>
    </row>
  </sheetData>
  <sheetProtection/>
  <mergeCells count="31">
    <mergeCell ref="A84:C84"/>
    <mergeCell ref="A35:C35"/>
    <mergeCell ref="A48:C48"/>
    <mergeCell ref="A60:C60"/>
    <mergeCell ref="A67:C67"/>
    <mergeCell ref="A66:C66"/>
    <mergeCell ref="A76:C76"/>
    <mergeCell ref="A75:C75"/>
    <mergeCell ref="A1:D1"/>
    <mergeCell ref="A3:C3"/>
    <mergeCell ref="A4:C4"/>
    <mergeCell ref="A6:C6"/>
    <mergeCell ref="A33:C33"/>
    <mergeCell ref="A69:C69"/>
    <mergeCell ref="A29:C29"/>
    <mergeCell ref="A85:C85"/>
    <mergeCell ref="A78:C78"/>
    <mergeCell ref="A79:C79"/>
    <mergeCell ref="A80:C80"/>
    <mergeCell ref="A81:C81"/>
    <mergeCell ref="A71:C71"/>
    <mergeCell ref="A77:C77"/>
    <mergeCell ref="A82:C82"/>
    <mergeCell ref="A73:C73"/>
    <mergeCell ref="A72:C72"/>
    <mergeCell ref="A70:C70"/>
    <mergeCell ref="A9:C9"/>
    <mergeCell ref="A83:C83"/>
    <mergeCell ref="A74:C74"/>
    <mergeCell ref="A8:C8"/>
    <mergeCell ref="A68:C68"/>
  </mergeCells>
  <printOptions/>
  <pageMargins left="0.22" right="0.1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8" sqref="A1:D108"/>
    </sheetView>
  </sheetViews>
  <sheetFormatPr defaultColWidth="13.421875" defaultRowHeight="12.75" outlineLevelRow="2"/>
  <cols>
    <col min="1" max="1" width="13.281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4.5" customHeight="1" thickBot="1">
      <c r="A1" s="135" t="s">
        <v>1605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414360</v>
      </c>
      <c r="E3" s="45"/>
    </row>
    <row r="4" spans="1:5" ht="12.75" outlineLevel="1">
      <c r="A4" s="117" t="s">
        <v>1355</v>
      </c>
      <c r="B4" s="118"/>
      <c r="C4" s="119"/>
      <c r="D4" s="28">
        <f>SUM(D5:D6)</f>
        <v>414360</v>
      </c>
      <c r="E4" s="46"/>
    </row>
    <row r="5" spans="1:5" ht="12.75" outlineLevel="2">
      <c r="A5" s="51" t="s">
        <v>2623</v>
      </c>
      <c r="B5" s="52" t="s">
        <v>1954</v>
      </c>
      <c r="C5" s="63" t="s">
        <v>2624</v>
      </c>
      <c r="D5" s="30">
        <v>213144</v>
      </c>
      <c r="E5" s="46"/>
    </row>
    <row r="6" spans="1:5" ht="12.75" outlineLevel="2">
      <c r="A6" s="7" t="s">
        <v>143</v>
      </c>
      <c r="B6" s="29" t="s">
        <v>1955</v>
      </c>
      <c r="C6" s="13" t="s">
        <v>144</v>
      </c>
      <c r="D6" s="30">
        <v>201216</v>
      </c>
      <c r="E6" s="46"/>
    </row>
    <row r="7" spans="1:5" ht="13.5" customHeight="1" thickBot="1">
      <c r="A7" s="124" t="s">
        <v>1343</v>
      </c>
      <c r="B7" s="124"/>
      <c r="C7" s="124"/>
      <c r="D7" s="25">
        <f>D8+D54+D56+D58+D71+D75+D85+D87+D89+D90</f>
        <v>359352.93999999994</v>
      </c>
      <c r="E7" s="45"/>
    </row>
    <row r="8" spans="1:5" ht="13.5" outlineLevel="1" thickTop="1">
      <c r="A8" s="111" t="s">
        <v>1354</v>
      </c>
      <c r="B8" s="112"/>
      <c r="C8" s="113"/>
      <c r="D8" s="28">
        <f>SUM(D9:D38)</f>
        <v>59153.67999999999</v>
      </c>
      <c r="E8" s="46"/>
    </row>
    <row r="9" spans="1:5" ht="12.75" outlineLevel="2">
      <c r="A9" s="7" t="s">
        <v>1103</v>
      </c>
      <c r="B9" s="29" t="s">
        <v>849</v>
      </c>
      <c r="C9" s="7" t="s">
        <v>1104</v>
      </c>
      <c r="D9" s="30">
        <v>2428</v>
      </c>
      <c r="E9" s="46"/>
    </row>
    <row r="10" spans="1:5" ht="12.75" outlineLevel="2">
      <c r="A10" s="7" t="s">
        <v>1185</v>
      </c>
      <c r="B10" s="29" t="s">
        <v>849</v>
      </c>
      <c r="C10" s="7" t="s">
        <v>1187</v>
      </c>
      <c r="D10" s="30">
        <v>1637</v>
      </c>
      <c r="E10" s="46"/>
    </row>
    <row r="11" spans="1:5" ht="12.75" outlineLevel="2">
      <c r="A11" s="51" t="s">
        <v>1942</v>
      </c>
      <c r="B11" s="52" t="s">
        <v>849</v>
      </c>
      <c r="C11" s="51" t="s">
        <v>1943</v>
      </c>
      <c r="D11" s="30">
        <v>4587</v>
      </c>
      <c r="E11" s="46"/>
    </row>
    <row r="12" spans="1:5" ht="12.75" outlineLevel="2">
      <c r="A12" s="51" t="s">
        <v>2210</v>
      </c>
      <c r="B12" s="52" t="s">
        <v>849</v>
      </c>
      <c r="C12" s="51" t="s">
        <v>2211</v>
      </c>
      <c r="D12" s="30">
        <v>94.7</v>
      </c>
      <c r="E12" s="46"/>
    </row>
    <row r="13" spans="1:5" ht="12.75" outlineLevel="2">
      <c r="A13" s="51" t="s">
        <v>450</v>
      </c>
      <c r="B13" s="52" t="s">
        <v>1951</v>
      </c>
      <c r="C13" s="51" t="s">
        <v>451</v>
      </c>
      <c r="D13" s="30">
        <v>305</v>
      </c>
      <c r="E13" s="46"/>
    </row>
    <row r="14" spans="1:5" ht="12.75" outlineLevel="2">
      <c r="A14" s="51" t="s">
        <v>692</v>
      </c>
      <c r="B14" s="52" t="s">
        <v>1951</v>
      </c>
      <c r="C14" s="51" t="s">
        <v>693</v>
      </c>
      <c r="D14" s="30">
        <v>130</v>
      </c>
      <c r="E14" s="46"/>
    </row>
    <row r="15" spans="1:5" ht="12.75" outlineLevel="2">
      <c r="A15" s="51" t="s">
        <v>2212</v>
      </c>
      <c r="B15" s="52" t="s">
        <v>1952</v>
      </c>
      <c r="C15" s="51" t="s">
        <v>2213</v>
      </c>
      <c r="D15" s="30">
        <v>3868</v>
      </c>
      <c r="E15" s="46"/>
    </row>
    <row r="16" spans="1:5" ht="12.75" outlineLevel="2">
      <c r="A16" s="7" t="s">
        <v>547</v>
      </c>
      <c r="B16" s="29" t="s">
        <v>1952</v>
      </c>
      <c r="C16" s="7" t="s">
        <v>1187</v>
      </c>
      <c r="D16" s="30">
        <v>957</v>
      </c>
      <c r="E16" s="46"/>
    </row>
    <row r="17" spans="1:5" ht="12.75" outlineLevel="2">
      <c r="A17" s="7" t="s">
        <v>2284</v>
      </c>
      <c r="B17" s="29" t="s">
        <v>1953</v>
      </c>
      <c r="C17" s="7" t="s">
        <v>2285</v>
      </c>
      <c r="D17" s="30">
        <v>1339</v>
      </c>
      <c r="E17" s="46"/>
    </row>
    <row r="18" spans="1:5" ht="12.75" outlineLevel="2">
      <c r="A18" s="7" t="s">
        <v>2422</v>
      </c>
      <c r="B18" s="29" t="s">
        <v>1953</v>
      </c>
      <c r="C18" s="7" t="s">
        <v>2424</v>
      </c>
      <c r="D18" s="30">
        <v>1736</v>
      </c>
      <c r="E18" s="46"/>
    </row>
    <row r="19" spans="1:5" ht="12.75" outlineLevel="2">
      <c r="A19" s="7" t="s">
        <v>2449</v>
      </c>
      <c r="B19" s="29" t="s">
        <v>1953</v>
      </c>
      <c r="C19" s="7" t="s">
        <v>2450</v>
      </c>
      <c r="D19" s="30">
        <v>5240</v>
      </c>
      <c r="E19" s="46"/>
    </row>
    <row r="20" spans="1:5" ht="12.75" outlineLevel="2">
      <c r="A20" s="7" t="s">
        <v>1302</v>
      </c>
      <c r="B20" s="29" t="s">
        <v>1953</v>
      </c>
      <c r="C20" s="7" t="s">
        <v>1320</v>
      </c>
      <c r="D20" s="30">
        <v>94.7</v>
      </c>
      <c r="E20" s="46"/>
    </row>
    <row r="21" spans="1:5" ht="12.75" outlineLevel="2">
      <c r="A21" s="7" t="s">
        <v>1316</v>
      </c>
      <c r="B21" s="29" t="s">
        <v>1953</v>
      </c>
      <c r="C21" s="7" t="s">
        <v>2211</v>
      </c>
      <c r="D21" s="30">
        <v>50.76</v>
      </c>
      <c r="E21" s="46"/>
    </row>
    <row r="22" spans="1:5" ht="12.75" outlineLevel="2">
      <c r="A22" s="8" t="s">
        <v>2612</v>
      </c>
      <c r="B22" s="29" t="s">
        <v>1954</v>
      </c>
      <c r="C22" s="7" t="s">
        <v>2614</v>
      </c>
      <c r="D22" s="31">
        <v>2639</v>
      </c>
      <c r="E22" s="46"/>
    </row>
    <row r="23" spans="1:5" ht="12.75" outlineLevel="2">
      <c r="A23" s="8" t="s">
        <v>2674</v>
      </c>
      <c r="B23" s="29" t="s">
        <v>1954</v>
      </c>
      <c r="C23" s="7" t="s">
        <v>1190</v>
      </c>
      <c r="D23" s="31">
        <v>258</v>
      </c>
      <c r="E23" s="46"/>
    </row>
    <row r="24" spans="1:5" ht="12.75" outlineLevel="2">
      <c r="A24" s="8" t="s">
        <v>1270</v>
      </c>
      <c r="B24" s="29" t="s">
        <v>1954</v>
      </c>
      <c r="C24" s="7" t="s">
        <v>1271</v>
      </c>
      <c r="D24" s="31">
        <v>828</v>
      </c>
      <c r="E24" s="46"/>
    </row>
    <row r="25" spans="1:5" ht="12.75" outlineLevel="2">
      <c r="A25" s="8" t="s">
        <v>2799</v>
      </c>
      <c r="B25" s="29" t="s">
        <v>1954</v>
      </c>
      <c r="C25" s="8" t="s">
        <v>1328</v>
      </c>
      <c r="D25" s="31">
        <v>378.8</v>
      </c>
      <c r="E25" s="46"/>
    </row>
    <row r="26" spans="1:5" ht="12.75" outlineLevel="2">
      <c r="A26" s="8" t="s">
        <v>161</v>
      </c>
      <c r="B26" s="29" t="s">
        <v>1955</v>
      </c>
      <c r="C26" s="8" t="s">
        <v>162</v>
      </c>
      <c r="D26" s="31">
        <v>2228</v>
      </c>
      <c r="E26" s="46"/>
    </row>
    <row r="27" spans="1:5" ht="25.5" outlineLevel="2">
      <c r="A27" s="8" t="s">
        <v>1014</v>
      </c>
      <c r="B27" s="29" t="s">
        <v>1955</v>
      </c>
      <c r="C27" s="8" t="s">
        <v>1015</v>
      </c>
      <c r="D27" s="31">
        <v>3953</v>
      </c>
      <c r="E27" s="46"/>
    </row>
    <row r="28" spans="1:5" ht="12.75" outlineLevel="2">
      <c r="A28" s="8" t="s">
        <v>1029</v>
      </c>
      <c r="B28" s="29" t="s">
        <v>1955</v>
      </c>
      <c r="C28" s="8" t="s">
        <v>1030</v>
      </c>
      <c r="D28" s="31">
        <v>13328</v>
      </c>
      <c r="E28" s="46"/>
    </row>
    <row r="29" spans="1:5" ht="12.75" outlineLevel="2">
      <c r="A29" s="8" t="s">
        <v>399</v>
      </c>
      <c r="B29" s="29" t="s">
        <v>1955</v>
      </c>
      <c r="C29" s="8" t="s">
        <v>378</v>
      </c>
      <c r="D29" s="31">
        <v>94.7</v>
      </c>
      <c r="E29" s="46"/>
    </row>
    <row r="30" spans="1:5" ht="12.75" outlineLevel="2">
      <c r="A30" s="8" t="s">
        <v>1078</v>
      </c>
      <c r="B30" s="29" t="s">
        <v>1956</v>
      </c>
      <c r="C30" s="8" t="s">
        <v>1079</v>
      </c>
      <c r="D30" s="31">
        <v>25.38</v>
      </c>
      <c r="E30" s="46"/>
    </row>
    <row r="31" spans="1:5" ht="12.75" outlineLevel="2">
      <c r="A31" s="8" t="s">
        <v>705</v>
      </c>
      <c r="B31" s="29" t="s">
        <v>1957</v>
      </c>
      <c r="C31" s="8" t="s">
        <v>706</v>
      </c>
      <c r="D31" s="31">
        <v>8.46</v>
      </c>
      <c r="E31" s="46"/>
    </row>
    <row r="32" spans="1:5" ht="12.75" outlineLevel="2">
      <c r="A32" s="8" t="s">
        <v>409</v>
      </c>
      <c r="B32" s="29" t="s">
        <v>1957</v>
      </c>
      <c r="C32" s="8" t="s">
        <v>2666</v>
      </c>
      <c r="D32" s="31">
        <v>278</v>
      </c>
      <c r="E32" s="46"/>
    </row>
    <row r="33" spans="1:5" ht="12.75" outlineLevel="2">
      <c r="A33" s="8" t="s">
        <v>1763</v>
      </c>
      <c r="B33" s="29" t="s">
        <v>1958</v>
      </c>
      <c r="C33" s="8" t="s">
        <v>438</v>
      </c>
      <c r="D33" s="31">
        <v>6554</v>
      </c>
      <c r="E33" s="46"/>
    </row>
    <row r="34" spans="1:5" ht="12.75" outlineLevel="2">
      <c r="A34" s="8" t="s">
        <v>888</v>
      </c>
      <c r="B34" s="29" t="s">
        <v>1958</v>
      </c>
      <c r="C34" s="8" t="s">
        <v>889</v>
      </c>
      <c r="D34" s="31">
        <v>1046</v>
      </c>
      <c r="E34" s="46"/>
    </row>
    <row r="35" spans="1:5" ht="12.75" outlineLevel="2">
      <c r="A35" s="55" t="s">
        <v>1860</v>
      </c>
      <c r="B35" s="29" t="s">
        <v>1958</v>
      </c>
      <c r="C35" s="55" t="s">
        <v>1861</v>
      </c>
      <c r="D35" s="31">
        <v>8.46</v>
      </c>
      <c r="E35" s="46"/>
    </row>
    <row r="36" spans="1:5" ht="12.75" outlineLevel="2">
      <c r="A36" s="8" t="s">
        <v>2726</v>
      </c>
      <c r="B36" s="29" t="s">
        <v>1957</v>
      </c>
      <c r="C36" s="8" t="s">
        <v>1148</v>
      </c>
      <c r="D36" s="31">
        <v>2492</v>
      </c>
      <c r="E36" s="46"/>
    </row>
    <row r="37" spans="1:5" ht="12.75" outlineLevel="2">
      <c r="A37" s="8" t="s">
        <v>1241</v>
      </c>
      <c r="B37" s="29" t="s">
        <v>1957</v>
      </c>
      <c r="C37" s="8" t="s">
        <v>312</v>
      </c>
      <c r="D37" s="31">
        <v>2096</v>
      </c>
      <c r="E37" s="46"/>
    </row>
    <row r="38" spans="1:5" ht="12.75" outlineLevel="2">
      <c r="A38" s="7" t="s">
        <v>1149</v>
      </c>
      <c r="B38" s="7" t="s">
        <v>1959</v>
      </c>
      <c r="C38" s="7" t="s">
        <v>1151</v>
      </c>
      <c r="D38" s="16">
        <v>470.72</v>
      </c>
      <c r="E38" s="46"/>
    </row>
    <row r="39" spans="1:5" ht="12.75" outlineLevel="2">
      <c r="A39" s="7" t="s">
        <v>2046</v>
      </c>
      <c r="B39" s="7" t="s">
        <v>2049</v>
      </c>
      <c r="C39" s="7" t="s">
        <v>2050</v>
      </c>
      <c r="D39" s="16">
        <v>2786.97</v>
      </c>
      <c r="E39" s="46"/>
    </row>
    <row r="40" spans="1:5" ht="12.75" outlineLevel="2">
      <c r="A40" s="7" t="s">
        <v>10</v>
      </c>
      <c r="B40" s="7" t="s">
        <v>2049</v>
      </c>
      <c r="C40" s="7" t="s">
        <v>2760</v>
      </c>
      <c r="D40" s="16">
        <v>2737.8</v>
      </c>
      <c r="E40" s="46"/>
    </row>
    <row r="41" spans="1:5" ht="12.75" outlineLevel="2">
      <c r="A41" s="7" t="s">
        <v>811</v>
      </c>
      <c r="B41" s="7" t="s">
        <v>2049</v>
      </c>
      <c r="C41" s="7" t="s">
        <v>812</v>
      </c>
      <c r="D41" s="16">
        <v>4705.41</v>
      </c>
      <c r="E41" s="46"/>
    </row>
    <row r="42" spans="1:5" ht="12.75" outlineLevel="2">
      <c r="A42" s="7" t="s">
        <v>817</v>
      </c>
      <c r="B42" s="7" t="s">
        <v>2049</v>
      </c>
      <c r="C42" s="7" t="s">
        <v>2727</v>
      </c>
      <c r="D42" s="16">
        <v>3204.84</v>
      </c>
      <c r="E42" s="46"/>
    </row>
    <row r="43" spans="1:5" ht="12.75" outlineLevel="2">
      <c r="A43" s="51" t="s">
        <v>904</v>
      </c>
      <c r="B43" s="7" t="s">
        <v>1958</v>
      </c>
      <c r="C43" s="51" t="s">
        <v>909</v>
      </c>
      <c r="D43" s="16">
        <v>1722</v>
      </c>
      <c r="E43" s="46"/>
    </row>
    <row r="44" spans="1:5" ht="12.75" outlineLevel="2">
      <c r="A44" s="51" t="s">
        <v>931</v>
      </c>
      <c r="B44" s="7" t="s">
        <v>2049</v>
      </c>
      <c r="C44" s="51" t="s">
        <v>914</v>
      </c>
      <c r="D44" s="16">
        <v>4545.6</v>
      </c>
      <c r="E44" s="46"/>
    </row>
    <row r="45" spans="1:5" ht="12.75" outlineLevel="2">
      <c r="A45" s="51" t="s">
        <v>740</v>
      </c>
      <c r="B45" s="7" t="s">
        <v>1961</v>
      </c>
      <c r="C45" s="51" t="s">
        <v>741</v>
      </c>
      <c r="D45" s="16">
        <v>1238</v>
      </c>
      <c r="E45" s="46"/>
    </row>
    <row r="46" spans="1:5" ht="25.5" outlineLevel="2">
      <c r="A46" s="51" t="s">
        <v>766</v>
      </c>
      <c r="B46" s="7" t="s">
        <v>1961</v>
      </c>
      <c r="C46" s="51" t="s">
        <v>767</v>
      </c>
      <c r="D46" s="16">
        <v>2433</v>
      </c>
      <c r="E46" s="46"/>
    </row>
    <row r="47" spans="1:5" ht="12.75" outlineLevel="2">
      <c r="A47" s="51" t="s">
        <v>1375</v>
      </c>
      <c r="B47" s="7" t="s">
        <v>1961</v>
      </c>
      <c r="C47" s="51" t="s">
        <v>187</v>
      </c>
      <c r="D47" s="16">
        <v>1004.27</v>
      </c>
      <c r="E47" s="46"/>
    </row>
    <row r="48" spans="1:5" ht="12.75" outlineLevel="2">
      <c r="A48" s="51" t="s">
        <v>2748</v>
      </c>
      <c r="B48" s="7" t="s">
        <v>1961</v>
      </c>
      <c r="C48" s="51" t="s">
        <v>1434</v>
      </c>
      <c r="D48" s="16">
        <v>2411</v>
      </c>
      <c r="E48" s="46"/>
    </row>
    <row r="49" spans="1:5" ht="12.75" outlineLevel="2">
      <c r="A49" s="8" t="s">
        <v>1541</v>
      </c>
      <c r="B49" s="52" t="s">
        <v>1961</v>
      </c>
      <c r="C49" s="55" t="s">
        <v>1516</v>
      </c>
      <c r="D49" s="16">
        <v>16.92</v>
      </c>
      <c r="E49" s="46"/>
    </row>
    <row r="50" spans="1:5" ht="25.5" outlineLevel="2">
      <c r="A50" s="8" t="s">
        <v>1646</v>
      </c>
      <c r="B50" s="7" t="s">
        <v>1961</v>
      </c>
      <c r="C50" s="55" t="s">
        <v>1516</v>
      </c>
      <c r="D50" s="16">
        <v>84.6</v>
      </c>
      <c r="E50" s="46"/>
    </row>
    <row r="51" spans="1:5" ht="12.75" outlineLevel="2">
      <c r="A51" s="8" t="s">
        <v>1645</v>
      </c>
      <c r="B51" s="7" t="s">
        <v>1961</v>
      </c>
      <c r="C51" s="55" t="s">
        <v>1516</v>
      </c>
      <c r="D51" s="16">
        <v>8.46</v>
      </c>
      <c r="E51" s="46"/>
    </row>
    <row r="52" spans="1:5" ht="12.75" customHeight="1" outlineLevel="2">
      <c r="A52" s="8" t="s">
        <v>1653</v>
      </c>
      <c r="B52" s="29" t="s">
        <v>1961</v>
      </c>
      <c r="C52" s="55" t="s">
        <v>2727</v>
      </c>
      <c r="D52" s="31">
        <v>3132.27</v>
      </c>
      <c r="E52" s="46"/>
    </row>
    <row r="53" spans="1:5" ht="12.75" outlineLevel="2">
      <c r="A53" s="8" t="s">
        <v>1542</v>
      </c>
      <c r="B53" s="52" t="s">
        <v>1961</v>
      </c>
      <c r="C53" s="55" t="s">
        <v>1516</v>
      </c>
      <c r="D53" s="16">
        <v>25.38</v>
      </c>
      <c r="E53" s="46"/>
    </row>
    <row r="54" spans="1:5" ht="12.75" outlineLevel="1">
      <c r="A54" s="117" t="s">
        <v>1340</v>
      </c>
      <c r="B54" s="118"/>
      <c r="C54" s="119"/>
      <c r="D54" s="28">
        <f>SUM(D55:D55)</f>
        <v>77.52</v>
      </c>
      <c r="E54" s="46"/>
    </row>
    <row r="55" spans="1:5" ht="12.75" outlineLevel="2">
      <c r="A55" s="9" t="s">
        <v>1982</v>
      </c>
      <c r="B55" s="29" t="s">
        <v>1959</v>
      </c>
      <c r="C55" s="7" t="s">
        <v>1986</v>
      </c>
      <c r="D55" s="30">
        <v>77.52</v>
      </c>
      <c r="E55" s="46"/>
    </row>
    <row r="56" spans="1:5" ht="12.75" outlineLevel="1">
      <c r="A56" s="117" t="s">
        <v>1342</v>
      </c>
      <c r="B56" s="118"/>
      <c r="C56" s="119"/>
      <c r="D56" s="28">
        <f>SUM(D57:D57)</f>
        <v>26910.31</v>
      </c>
      <c r="E56" s="46"/>
    </row>
    <row r="57" spans="1:5" ht="12.75" outlineLevel="2">
      <c r="A57" s="7" t="s">
        <v>268</v>
      </c>
      <c r="B57" s="29" t="s">
        <v>2017</v>
      </c>
      <c r="C57" s="7" t="s">
        <v>267</v>
      </c>
      <c r="D57" s="30">
        <v>26910.31</v>
      </c>
      <c r="E57" s="46"/>
    </row>
    <row r="58" spans="1:5" ht="12.75" outlineLevel="1">
      <c r="A58" s="117" t="s">
        <v>1344</v>
      </c>
      <c r="B58" s="118"/>
      <c r="C58" s="119"/>
      <c r="D58" s="28">
        <f>SUM(D59:D70)</f>
        <v>168654.66999999998</v>
      </c>
      <c r="E58" s="46"/>
    </row>
    <row r="59" spans="1:5" ht="12.75" outlineLevel="2">
      <c r="A59" s="7"/>
      <c r="B59" s="29" t="s">
        <v>849</v>
      </c>
      <c r="C59" s="7" t="s">
        <v>1950</v>
      </c>
      <c r="D59" s="30">
        <f>3116.71+2682.74+1617.53+3826.84+1656.98+1025.75</f>
        <v>13926.55</v>
      </c>
      <c r="E59" s="46"/>
    </row>
    <row r="60" spans="1:5" ht="12.75" outlineLevel="2">
      <c r="A60" s="7"/>
      <c r="B60" s="29" t="s">
        <v>1951</v>
      </c>
      <c r="C60" s="7" t="s">
        <v>1950</v>
      </c>
      <c r="D60" s="30">
        <f>3116+2682.74+1617.53+3826.84+1656.98+1025.75</f>
        <v>13925.84</v>
      </c>
      <c r="E60" s="46"/>
    </row>
    <row r="61" spans="1:5" ht="12.75" outlineLevel="2">
      <c r="A61" s="7"/>
      <c r="B61" s="29" t="s">
        <v>1952</v>
      </c>
      <c r="C61" s="7" t="s">
        <v>1950</v>
      </c>
      <c r="D61" s="30">
        <f>3116.71+2682.74+1617.53+3826.84+1656.98+1025.75+236.71</f>
        <v>14163.259999999998</v>
      </c>
      <c r="E61" s="46"/>
    </row>
    <row r="62" spans="1:5" ht="12.75" outlineLevel="2">
      <c r="A62" s="7"/>
      <c r="B62" s="29" t="s">
        <v>1953</v>
      </c>
      <c r="C62" s="7" t="s">
        <v>1950</v>
      </c>
      <c r="D62" s="30">
        <f>3116.71+2406.57+5444.38+1578.08+1025.75+236.71</f>
        <v>13808.199999999999</v>
      </c>
      <c r="E62" s="46"/>
    </row>
    <row r="63" spans="1:5" ht="12.75" outlineLevel="2">
      <c r="A63" s="7"/>
      <c r="B63" s="29" t="s">
        <v>1954</v>
      </c>
      <c r="C63" s="7" t="s">
        <v>1950</v>
      </c>
      <c r="D63" s="30">
        <f>3166.71+2090.96+5365.47+1459.72+986.3+213.04</f>
        <v>13282.199999999999</v>
      </c>
      <c r="E63" s="46"/>
    </row>
    <row r="64" spans="1:5" ht="12.75" outlineLevel="2">
      <c r="A64" s="7"/>
      <c r="B64" s="29" t="s">
        <v>1955</v>
      </c>
      <c r="C64" s="7" t="s">
        <v>1950</v>
      </c>
      <c r="D64" s="30">
        <f>1558.35+1045.48+2722.19+729.86+493.15</f>
        <v>6549.03</v>
      </c>
      <c r="E64" s="46"/>
    </row>
    <row r="65" spans="1:5" ht="12.75" customHeight="1" outlineLevel="2">
      <c r="A65" s="7"/>
      <c r="B65" s="29" t="s">
        <v>1956</v>
      </c>
      <c r="C65" s="7" t="s">
        <v>1950</v>
      </c>
      <c r="D65" s="30">
        <f>3471.78+2327.67+6075.61+1345.31+1104.66</f>
        <v>14325.03</v>
      </c>
      <c r="E65" s="46"/>
    </row>
    <row r="66" spans="1:5" ht="12.75" outlineLevel="2">
      <c r="A66" s="7"/>
      <c r="B66" s="29" t="s">
        <v>1957</v>
      </c>
      <c r="C66" s="7" t="s">
        <v>1950</v>
      </c>
      <c r="D66" s="30">
        <f>3741.78+2327.67+6075.61+1345.31+1104.66+4970.95</f>
        <v>19565.98</v>
      </c>
      <c r="E66" s="46"/>
    </row>
    <row r="67" spans="1:5" ht="12.75" outlineLevel="2">
      <c r="A67" s="7"/>
      <c r="B67" s="29" t="s">
        <v>1958</v>
      </c>
      <c r="C67" s="7" t="s">
        <v>1950</v>
      </c>
      <c r="D67" s="30">
        <f>3471.78+2327.67+6075.61+1345.31+1104.66</f>
        <v>14325.03</v>
      </c>
      <c r="E67" s="46"/>
    </row>
    <row r="68" spans="1:5" ht="12.75" outlineLevel="2">
      <c r="A68" s="7"/>
      <c r="B68" s="29" t="s">
        <v>1959</v>
      </c>
      <c r="C68" s="7" t="s">
        <v>1950</v>
      </c>
      <c r="D68" s="30">
        <f>3471.78+2327.67+6075.61+1345.31+475</f>
        <v>13695.37</v>
      </c>
      <c r="E68" s="46"/>
    </row>
    <row r="69" spans="1:5" ht="12.75" outlineLevel="2">
      <c r="A69" s="7"/>
      <c r="B69" s="29" t="s">
        <v>1960</v>
      </c>
      <c r="C69" s="7" t="s">
        <v>1950</v>
      </c>
      <c r="D69" s="30">
        <f>3471.78+3037.8+1814.79+4260.82+1854.24+1104.66</f>
        <v>15544.089999999998</v>
      </c>
      <c r="E69" s="46"/>
    </row>
    <row r="70" spans="1:5" ht="12.75" outlineLevel="2">
      <c r="A70" s="11"/>
      <c r="B70" s="29" t="s">
        <v>1961</v>
      </c>
      <c r="C70" s="7" t="s">
        <v>1950</v>
      </c>
      <c r="D70" s="30">
        <f>3471.78+3037.8+1814.79+4260.82+1854.24+1104.66</f>
        <v>15544.089999999998</v>
      </c>
      <c r="E70" s="46"/>
    </row>
    <row r="71" spans="1:5" ht="12.75" outlineLevel="1">
      <c r="A71" s="117" t="s">
        <v>1346</v>
      </c>
      <c r="B71" s="118"/>
      <c r="C71" s="119"/>
      <c r="D71" s="28">
        <f>SUM(D72:D74)</f>
        <v>6880.52</v>
      </c>
      <c r="E71" s="46"/>
    </row>
    <row r="72" spans="1:5" ht="12.75" outlineLevel="2">
      <c r="A72" s="7" t="s">
        <v>1198</v>
      </c>
      <c r="B72" s="29" t="s">
        <v>849</v>
      </c>
      <c r="C72" s="7" t="s">
        <v>1707</v>
      </c>
      <c r="D72" s="30">
        <v>172.52</v>
      </c>
      <c r="E72" s="46"/>
    </row>
    <row r="73" spans="1:5" ht="12.75" outlineLevel="2">
      <c r="A73" s="7" t="s">
        <v>710</v>
      </c>
      <c r="B73" s="29" t="s">
        <v>1957</v>
      </c>
      <c r="C73" s="7" t="s">
        <v>709</v>
      </c>
      <c r="D73" s="30">
        <v>5898</v>
      </c>
      <c r="E73" s="46"/>
    </row>
    <row r="74" spans="1:5" ht="12.75" outlineLevel="2">
      <c r="A74" s="7" t="s">
        <v>1703</v>
      </c>
      <c r="B74" s="29" t="s">
        <v>1957</v>
      </c>
      <c r="C74" s="7" t="s">
        <v>1706</v>
      </c>
      <c r="D74" s="30">
        <v>810</v>
      </c>
      <c r="E74" s="46"/>
    </row>
    <row r="75" spans="1:5" ht="12.75" outlineLevel="1">
      <c r="A75" s="117" t="s">
        <v>1341</v>
      </c>
      <c r="B75" s="118"/>
      <c r="C75" s="119"/>
      <c r="D75" s="28">
        <f>SUM(D76:D84)</f>
        <v>11016.1</v>
      </c>
      <c r="E75" s="46"/>
    </row>
    <row r="76" spans="1:5" ht="12.75" outlineLevel="2">
      <c r="A76" s="7" t="s">
        <v>1784</v>
      </c>
      <c r="B76" s="29" t="s">
        <v>849</v>
      </c>
      <c r="C76" s="7" t="s">
        <v>1879</v>
      </c>
      <c r="D76" s="30">
        <v>357</v>
      </c>
      <c r="E76" s="46"/>
    </row>
    <row r="77" spans="1:5" ht="12.75" outlineLevel="2">
      <c r="A77" s="7" t="s">
        <v>2366</v>
      </c>
      <c r="B77" s="29" t="s">
        <v>1952</v>
      </c>
      <c r="C77" s="7" t="s">
        <v>2385</v>
      </c>
      <c r="D77" s="30">
        <v>320</v>
      </c>
      <c r="E77" s="46"/>
    </row>
    <row r="78" spans="1:5" ht="12.75" outlineLevel="2">
      <c r="A78" s="7" t="s">
        <v>2412</v>
      </c>
      <c r="B78" s="29" t="s">
        <v>1953</v>
      </c>
      <c r="C78" s="7" t="s">
        <v>2413</v>
      </c>
      <c r="D78" s="30">
        <v>1192</v>
      </c>
      <c r="E78" s="46"/>
    </row>
    <row r="79" spans="1:5" ht="12.75" outlineLevel="2">
      <c r="A79" s="7" t="s">
        <v>2272</v>
      </c>
      <c r="B79" s="29" t="s">
        <v>1954</v>
      </c>
      <c r="C79" s="7" t="s">
        <v>2274</v>
      </c>
      <c r="D79" s="30">
        <v>312</v>
      </c>
      <c r="E79" s="46"/>
    </row>
    <row r="80" spans="1:5" ht="12.75" outlineLevel="2">
      <c r="A80" s="7" t="s">
        <v>2275</v>
      </c>
      <c r="B80" s="29" t="s">
        <v>1954</v>
      </c>
      <c r="C80" s="7" t="s">
        <v>2273</v>
      </c>
      <c r="D80" s="30">
        <v>960</v>
      </c>
      <c r="E80" s="46"/>
    </row>
    <row r="81" spans="1:5" ht="12.75" outlineLevel="2">
      <c r="A81" s="7" t="s">
        <v>2431</v>
      </c>
      <c r="B81" s="29" t="s">
        <v>1959</v>
      </c>
      <c r="C81" s="7" t="s">
        <v>2436</v>
      </c>
      <c r="D81" s="30">
        <v>348.27</v>
      </c>
      <c r="E81" s="46"/>
    </row>
    <row r="82" spans="1:5" ht="25.5" outlineLevel="2">
      <c r="A82" s="7" t="s">
        <v>91</v>
      </c>
      <c r="B82" s="29" t="s">
        <v>1960</v>
      </c>
      <c r="C82" s="7" t="s">
        <v>92</v>
      </c>
      <c r="D82" s="30">
        <v>4823.5</v>
      </c>
      <c r="E82" s="46"/>
    </row>
    <row r="83" spans="1:5" ht="12.75" outlineLevel="2">
      <c r="A83" s="7" t="s">
        <v>247</v>
      </c>
      <c r="B83" s="29" t="s">
        <v>1960</v>
      </c>
      <c r="C83" s="7" t="s">
        <v>248</v>
      </c>
      <c r="D83" s="30">
        <v>2207.17</v>
      </c>
      <c r="E83" s="46"/>
    </row>
    <row r="84" spans="1:5" ht="12.75" outlineLevel="2">
      <c r="A84" s="51" t="s">
        <v>1481</v>
      </c>
      <c r="B84" s="52" t="s">
        <v>1961</v>
      </c>
      <c r="C84" s="51" t="s">
        <v>1483</v>
      </c>
      <c r="D84" s="30">
        <v>496.16</v>
      </c>
      <c r="E84" s="46"/>
    </row>
    <row r="85" spans="1:5" ht="12.75" outlineLevel="1">
      <c r="A85" s="117" t="s">
        <v>1347</v>
      </c>
      <c r="B85" s="118"/>
      <c r="C85" s="119"/>
      <c r="D85" s="28">
        <f>SUM(D86:D86)</f>
        <v>8144.68</v>
      </c>
      <c r="E85" s="46"/>
    </row>
    <row r="86" spans="1:5" ht="12.75" outlineLevel="2">
      <c r="A86" s="11"/>
      <c r="B86" s="29"/>
      <c r="C86" s="7" t="s">
        <v>239</v>
      </c>
      <c r="D86" s="30">
        <f>1103.83+7040.85</f>
        <v>8144.68</v>
      </c>
      <c r="E86" s="46"/>
    </row>
    <row r="87" spans="1:5" ht="12.75">
      <c r="A87" s="117" t="s">
        <v>1348</v>
      </c>
      <c r="B87" s="118"/>
      <c r="C87" s="119"/>
      <c r="D87" s="32">
        <f>SUM(D88:D88)</f>
        <v>400.5</v>
      </c>
      <c r="E87" s="46"/>
    </row>
    <row r="88" spans="1:5" ht="12.75" outlineLevel="2">
      <c r="A88" s="51" t="s">
        <v>955</v>
      </c>
      <c r="B88" s="7" t="s">
        <v>2049</v>
      </c>
      <c r="C88" s="51" t="s">
        <v>956</v>
      </c>
      <c r="D88" s="16">
        <v>400.5</v>
      </c>
      <c r="E88" s="46"/>
    </row>
    <row r="89" spans="1:6" ht="12.75">
      <c r="A89" s="6">
        <v>3945.2</v>
      </c>
      <c r="B89" s="6" t="s">
        <v>1356</v>
      </c>
      <c r="C89" s="37" t="s">
        <v>1345</v>
      </c>
      <c r="D89" s="23">
        <f>(3945.2*6*1.46)+(3945.2*6*1.63)</f>
        <v>73144.00799999999</v>
      </c>
      <c r="E89" s="46"/>
      <c r="F89" s="37" t="s">
        <v>1352</v>
      </c>
    </row>
    <row r="90" spans="1:6" ht="13.5" thickBot="1">
      <c r="A90" s="6">
        <v>3945.2</v>
      </c>
      <c r="B90" s="6" t="s">
        <v>1356</v>
      </c>
      <c r="C90" s="37" t="s">
        <v>1357</v>
      </c>
      <c r="D90" s="23">
        <f>(3945.2*6*0.1)+(3945.2*6*0.11)</f>
        <v>4970.951999999999</v>
      </c>
      <c r="E90" s="46"/>
      <c r="F90" s="37" t="s">
        <v>1351</v>
      </c>
    </row>
    <row r="91" spans="1:6" ht="12.75" customHeight="1" thickTop="1">
      <c r="A91" s="132" t="s">
        <v>1361</v>
      </c>
      <c r="B91" s="133"/>
      <c r="C91" s="134"/>
      <c r="D91" s="76">
        <f>(3945.2*6*0.94)+(3945.2*6*1.03)</f>
        <v>46632.263999999996</v>
      </c>
      <c r="E91" s="48"/>
      <c r="F91" s="14" t="s">
        <v>787</v>
      </c>
    </row>
    <row r="92" spans="1:6" ht="12.75" customHeight="1">
      <c r="A92" s="125" t="s">
        <v>1350</v>
      </c>
      <c r="B92" s="126"/>
      <c r="C92" s="127"/>
      <c r="D92" s="76">
        <f>(3945.2*6*1.57)+(3945.2*6*1.75)</f>
        <v>78588.38399999999</v>
      </c>
      <c r="E92" s="48"/>
      <c r="F92" s="14" t="s">
        <v>788</v>
      </c>
    </row>
    <row r="93" spans="1:6" ht="12.75" customHeight="1">
      <c r="A93" s="125" t="s">
        <v>1362</v>
      </c>
      <c r="B93" s="126"/>
      <c r="C93" s="127"/>
      <c r="D93" s="16">
        <f>10.3*(D95+D96)/100</f>
        <v>110447.724</v>
      </c>
      <c r="E93" s="48"/>
      <c r="F93" s="14" t="s">
        <v>789</v>
      </c>
    </row>
    <row r="94" spans="1:6" ht="12.75" customHeight="1">
      <c r="A94" s="120" t="s">
        <v>1363</v>
      </c>
      <c r="B94" s="121"/>
      <c r="C94" s="122"/>
      <c r="D94" s="41">
        <f>D93+D92+D91+D7+D3</f>
        <v>1009381.3119999999</v>
      </c>
      <c r="E94" s="48">
        <v>1</v>
      </c>
      <c r="F94" s="14" t="s">
        <v>790</v>
      </c>
    </row>
    <row r="95" spans="1:6" ht="12.75" customHeight="1">
      <c r="A95" s="114" t="s">
        <v>1364</v>
      </c>
      <c r="B95" s="115"/>
      <c r="C95" s="116"/>
      <c r="D95" s="18">
        <v>942116.4</v>
      </c>
      <c r="E95" s="48">
        <v>2</v>
      </c>
      <c r="F95" s="27"/>
    </row>
    <row r="96" spans="1:6" ht="12.75" customHeight="1">
      <c r="A96" s="114" t="s">
        <v>1365</v>
      </c>
      <c r="B96" s="115"/>
      <c r="C96" s="116"/>
      <c r="D96" s="18">
        <v>130191.6</v>
      </c>
      <c r="E96" s="48">
        <v>3</v>
      </c>
      <c r="F96" s="37" t="s">
        <v>1352</v>
      </c>
    </row>
    <row r="97" spans="1:6" ht="12.75" customHeight="1">
      <c r="A97" s="114" t="s">
        <v>2221</v>
      </c>
      <c r="B97" s="115"/>
      <c r="C97" s="116"/>
      <c r="D97" s="19">
        <f>1024572.82+D95</f>
        <v>1966689.22</v>
      </c>
      <c r="E97" s="48">
        <v>4</v>
      </c>
      <c r="F97" s="37" t="s">
        <v>791</v>
      </c>
    </row>
    <row r="98" spans="1:6" ht="13.5" customHeight="1">
      <c r="A98" s="114" t="s">
        <v>2222</v>
      </c>
      <c r="B98" s="115"/>
      <c r="C98" s="116"/>
      <c r="D98" s="19">
        <f>689200.89+D103</f>
        <v>1422257</v>
      </c>
      <c r="E98" s="48">
        <v>5</v>
      </c>
      <c r="F98" s="14" t="s">
        <v>843</v>
      </c>
    </row>
    <row r="99" spans="1:6" ht="25.5" customHeight="1">
      <c r="A99" s="120" t="s">
        <v>2223</v>
      </c>
      <c r="B99" s="121"/>
      <c r="C99" s="122"/>
      <c r="D99" s="42">
        <f>1020561.72+D94</f>
        <v>2029943.032</v>
      </c>
      <c r="E99" s="48">
        <v>6</v>
      </c>
      <c r="F99" s="14" t="s">
        <v>844</v>
      </c>
    </row>
    <row r="100" spans="1:6" ht="12.75" customHeight="1">
      <c r="A100" s="114" t="s">
        <v>2224</v>
      </c>
      <c r="B100" s="115"/>
      <c r="C100" s="116"/>
      <c r="D100" s="19">
        <f>141475.1+D96</f>
        <v>271666.7</v>
      </c>
      <c r="E100" s="48">
        <v>7</v>
      </c>
      <c r="F100" s="14" t="s">
        <v>845</v>
      </c>
    </row>
    <row r="101" spans="1:6" ht="12.75" customHeight="1">
      <c r="A101" s="114" t="s">
        <v>2225</v>
      </c>
      <c r="B101" s="115"/>
      <c r="C101" s="116"/>
      <c r="D101" s="19">
        <f>99914.49+D104</f>
        <v>201215.93</v>
      </c>
      <c r="E101" s="48">
        <v>8</v>
      </c>
      <c r="F101" s="14" t="s">
        <v>787</v>
      </c>
    </row>
    <row r="102" spans="1:6" ht="12.75" customHeight="1">
      <c r="A102" s="120" t="s">
        <v>2226</v>
      </c>
      <c r="B102" s="121"/>
      <c r="C102" s="122"/>
      <c r="D102" s="42">
        <v>0</v>
      </c>
      <c r="E102" s="48">
        <v>9</v>
      </c>
      <c r="F102" s="14" t="s">
        <v>846</v>
      </c>
    </row>
    <row r="103" spans="1:6" ht="12.75" customHeight="1">
      <c r="A103" s="114" t="s">
        <v>779</v>
      </c>
      <c r="B103" s="115"/>
      <c r="C103" s="116"/>
      <c r="D103" s="18">
        <v>733056.11</v>
      </c>
      <c r="E103" s="48">
        <v>10</v>
      </c>
      <c r="F103" s="14" t="s">
        <v>847</v>
      </c>
    </row>
    <row r="104" spans="1:6" ht="12.75" customHeight="1">
      <c r="A104" s="114" t="s">
        <v>780</v>
      </c>
      <c r="B104" s="115"/>
      <c r="C104" s="116"/>
      <c r="D104" s="18">
        <v>101301.44</v>
      </c>
      <c r="E104" s="48">
        <v>11</v>
      </c>
      <c r="F104" s="14" t="s">
        <v>848</v>
      </c>
    </row>
    <row r="105" spans="1:6" ht="12.75" customHeight="1">
      <c r="A105" s="120" t="s">
        <v>781</v>
      </c>
      <c r="B105" s="121"/>
      <c r="C105" s="122"/>
      <c r="D105" s="41">
        <v>0</v>
      </c>
      <c r="E105" s="48">
        <v>12</v>
      </c>
      <c r="F105" s="43"/>
    </row>
    <row r="106" spans="1:6" ht="27" customHeight="1">
      <c r="A106" s="108" t="s">
        <v>1625</v>
      </c>
      <c r="B106" s="109"/>
      <c r="C106" s="110"/>
      <c r="D106" s="26">
        <f>D97-D99</f>
        <v>-63253.81199999992</v>
      </c>
      <c r="E106" s="48">
        <v>13</v>
      </c>
      <c r="F106" s="43"/>
    </row>
    <row r="107" spans="1:6" ht="25.5" customHeight="1">
      <c r="A107" s="108" t="s">
        <v>783</v>
      </c>
      <c r="B107" s="109"/>
      <c r="C107" s="110"/>
      <c r="D107" s="26">
        <f>D100-D102</f>
        <v>271666.7</v>
      </c>
      <c r="E107" s="48">
        <v>14</v>
      </c>
      <c r="F107" s="43"/>
    </row>
    <row r="108" spans="1:6" ht="25.5" customHeight="1">
      <c r="A108" s="108" t="s">
        <v>718</v>
      </c>
      <c r="B108" s="109"/>
      <c r="C108" s="110"/>
      <c r="D108" s="26">
        <f>D98-D99</f>
        <v>-607686.0319999999</v>
      </c>
      <c r="E108" s="48">
        <v>15</v>
      </c>
      <c r="F108" s="43"/>
    </row>
    <row r="109" ht="12.75">
      <c r="F109" s="43"/>
    </row>
  </sheetData>
  <sheetProtection/>
  <mergeCells count="30">
    <mergeCell ref="A87:C87"/>
    <mergeCell ref="A3:C3"/>
    <mergeCell ref="A4:C4"/>
    <mergeCell ref="A7:C7"/>
    <mergeCell ref="A8:C8"/>
    <mergeCell ref="A107:C107"/>
    <mergeCell ref="A97:C97"/>
    <mergeCell ref="A99:C99"/>
    <mergeCell ref="A100:C100"/>
    <mergeCell ref="A106:C106"/>
    <mergeCell ref="A58:C58"/>
    <mergeCell ref="A91:C91"/>
    <mergeCell ref="A105:C105"/>
    <mergeCell ref="A98:C98"/>
    <mergeCell ref="A54:C54"/>
    <mergeCell ref="A56:C56"/>
    <mergeCell ref="A93:C93"/>
    <mergeCell ref="A94:C94"/>
    <mergeCell ref="A95:C95"/>
    <mergeCell ref="A96:C96"/>
    <mergeCell ref="A108:C108"/>
    <mergeCell ref="A101:C101"/>
    <mergeCell ref="A102:C102"/>
    <mergeCell ref="A103:C103"/>
    <mergeCell ref="A104:C104"/>
    <mergeCell ref="A1:D1"/>
    <mergeCell ref="A92:C92"/>
    <mergeCell ref="A71:C71"/>
    <mergeCell ref="A75:C75"/>
    <mergeCell ref="A85:C85"/>
  </mergeCells>
  <printOptions/>
  <pageMargins left="0.17" right="0.7" top="0.17" bottom="0.17" header="0.3" footer="0.3"/>
  <pageSetup horizontalDpi="600" verticalDpi="600" orientation="portrait" r:id="rId1"/>
  <ignoredErrors>
    <ignoredError sqref="D6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25" sqref="A1:D125"/>
    </sheetView>
  </sheetViews>
  <sheetFormatPr defaultColWidth="13.421875" defaultRowHeight="12.75" outlineLevelRow="2"/>
  <cols>
    <col min="1" max="1" width="13.421875" style="1" customWidth="1"/>
    <col min="2" max="2" width="9.003906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6.25" customHeight="1" thickBot="1">
      <c r="A1" s="135" t="s">
        <v>1606</v>
      </c>
      <c r="B1" s="136"/>
      <c r="C1" s="136"/>
      <c r="D1" s="136"/>
    </row>
    <row r="2" spans="1:5" ht="22.5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194782</v>
      </c>
      <c r="E3" s="45"/>
    </row>
    <row r="4" spans="1:5" ht="12.75" outlineLevel="1">
      <c r="A4" s="117" t="s">
        <v>1354</v>
      </c>
      <c r="B4" s="118"/>
      <c r="C4" s="119"/>
      <c r="D4" s="28">
        <f>SUM(D5:D7)</f>
        <v>194782</v>
      </c>
      <c r="E4" s="46"/>
    </row>
    <row r="5" spans="1:5" ht="12.75" outlineLevel="2">
      <c r="A5" s="7" t="s">
        <v>713</v>
      </c>
      <c r="B5" s="29" t="s">
        <v>1951</v>
      </c>
      <c r="C5" s="13" t="s">
        <v>714</v>
      </c>
      <c r="D5" s="30">
        <v>56473</v>
      </c>
      <c r="E5" s="46"/>
    </row>
    <row r="6" spans="1:5" ht="12.75" outlineLevel="2">
      <c r="A6" s="7" t="s">
        <v>2439</v>
      </c>
      <c r="B6" s="29" t="s">
        <v>1953</v>
      </c>
      <c r="C6" s="13" t="s">
        <v>2440</v>
      </c>
      <c r="D6" s="30">
        <v>92113</v>
      </c>
      <c r="E6" s="46"/>
    </row>
    <row r="7" spans="1:5" ht="12.75" outlineLevel="2">
      <c r="A7" s="7" t="s">
        <v>1989</v>
      </c>
      <c r="B7" s="29" t="s">
        <v>1959</v>
      </c>
      <c r="C7" s="13" t="s">
        <v>1991</v>
      </c>
      <c r="D7" s="30">
        <v>46196</v>
      </c>
      <c r="E7" s="46"/>
    </row>
    <row r="8" spans="1:5" ht="13.5" customHeight="1" thickBot="1">
      <c r="A8" s="124" t="s">
        <v>1343</v>
      </c>
      <c r="B8" s="124"/>
      <c r="C8" s="124"/>
      <c r="D8" s="25">
        <f>D9+D66+D69+D71+D84+D96+D106+D107</f>
        <v>692442.6499999999</v>
      </c>
      <c r="E8" s="45"/>
    </row>
    <row r="9" spans="1:5" ht="13.5" outlineLevel="1" thickTop="1">
      <c r="A9" s="111" t="s">
        <v>1354</v>
      </c>
      <c r="B9" s="112"/>
      <c r="C9" s="113"/>
      <c r="D9" s="28">
        <f>SUM(D10:D65)</f>
        <v>219552.74000000002</v>
      </c>
      <c r="E9" s="46"/>
    </row>
    <row r="10" spans="1:5" ht="12.75" outlineLevel="2">
      <c r="A10" s="7" t="s">
        <v>1100</v>
      </c>
      <c r="B10" s="29" t="s">
        <v>849</v>
      </c>
      <c r="C10" s="51" t="s">
        <v>2248</v>
      </c>
      <c r="D10" s="30">
        <v>373</v>
      </c>
      <c r="E10" s="46"/>
    </row>
    <row r="11" spans="1:5" ht="12.75" outlineLevel="2">
      <c r="A11" s="7" t="s">
        <v>1185</v>
      </c>
      <c r="B11" s="29" t="s">
        <v>849</v>
      </c>
      <c r="C11" s="7" t="s">
        <v>2219</v>
      </c>
      <c r="D11" s="30">
        <v>2666</v>
      </c>
      <c r="E11" s="46"/>
    </row>
    <row r="12" spans="1:5" ht="12.75" outlineLevel="2">
      <c r="A12" s="7" t="s">
        <v>2153</v>
      </c>
      <c r="B12" s="29" t="s">
        <v>849</v>
      </c>
      <c r="C12" s="7" t="s">
        <v>2154</v>
      </c>
      <c r="D12" s="30">
        <v>540</v>
      </c>
      <c r="E12" s="46"/>
    </row>
    <row r="13" spans="1:5" ht="12.75" outlineLevel="2">
      <c r="A13" s="7" t="s">
        <v>2155</v>
      </c>
      <c r="B13" s="29" t="s">
        <v>849</v>
      </c>
      <c r="C13" s="7" t="s">
        <v>2154</v>
      </c>
      <c r="D13" s="30">
        <v>540</v>
      </c>
      <c r="E13" s="46"/>
    </row>
    <row r="14" spans="1:5" ht="12.75" outlineLevel="2">
      <c r="A14" s="7" t="s">
        <v>2171</v>
      </c>
      <c r="B14" s="29" t="s">
        <v>849</v>
      </c>
      <c r="C14" s="7" t="s">
        <v>1550</v>
      </c>
      <c r="D14" s="30">
        <v>94.7</v>
      </c>
      <c r="E14" s="46"/>
    </row>
    <row r="15" spans="1:5" ht="12.75" outlineLevel="2">
      <c r="A15" s="7" t="s">
        <v>2175</v>
      </c>
      <c r="B15" s="29" t="s">
        <v>849</v>
      </c>
      <c r="C15" s="7" t="s">
        <v>1550</v>
      </c>
      <c r="D15" s="30">
        <v>94.7</v>
      </c>
      <c r="E15" s="46"/>
    </row>
    <row r="16" spans="1:5" ht="12.75" outlineLevel="2">
      <c r="A16" s="7" t="s">
        <v>2182</v>
      </c>
      <c r="B16" s="29" t="s">
        <v>849</v>
      </c>
      <c r="C16" s="7" t="s">
        <v>1550</v>
      </c>
      <c r="D16" s="30">
        <v>94.7</v>
      </c>
      <c r="E16" s="46"/>
    </row>
    <row r="17" spans="1:5" ht="12.75" outlineLevel="2">
      <c r="A17" s="7" t="s">
        <v>2153</v>
      </c>
      <c r="B17" s="29" t="s">
        <v>849</v>
      </c>
      <c r="C17" s="7" t="s">
        <v>1550</v>
      </c>
      <c r="D17" s="30">
        <v>94.7</v>
      </c>
      <c r="E17" s="46"/>
    </row>
    <row r="18" spans="1:5" ht="12.75" outlineLevel="2">
      <c r="A18" s="51" t="s">
        <v>2153</v>
      </c>
      <c r="B18" s="52" t="s">
        <v>849</v>
      </c>
      <c r="C18" s="51" t="s">
        <v>2200</v>
      </c>
      <c r="D18" s="30">
        <v>94.7</v>
      </c>
      <c r="E18" s="46"/>
    </row>
    <row r="19" spans="1:5" ht="12.75" outlineLevel="2">
      <c r="A19" s="51" t="s">
        <v>2155</v>
      </c>
      <c r="B19" s="52" t="s">
        <v>849</v>
      </c>
      <c r="C19" s="51" t="s">
        <v>2200</v>
      </c>
      <c r="D19" s="30">
        <v>378.8</v>
      </c>
      <c r="E19" s="46"/>
    </row>
    <row r="20" spans="1:5" ht="12.75" outlineLevel="2">
      <c r="A20" s="51" t="s">
        <v>2206</v>
      </c>
      <c r="B20" s="52" t="s">
        <v>849</v>
      </c>
      <c r="C20" s="51" t="s">
        <v>2200</v>
      </c>
      <c r="D20" s="30">
        <v>378.8</v>
      </c>
      <c r="E20" s="46"/>
    </row>
    <row r="21" spans="1:5" ht="12.75" outlineLevel="2">
      <c r="A21" s="51" t="s">
        <v>665</v>
      </c>
      <c r="B21" s="52" t="s">
        <v>849</v>
      </c>
      <c r="C21" s="51" t="s">
        <v>666</v>
      </c>
      <c r="D21" s="30">
        <v>307.77</v>
      </c>
      <c r="E21" s="46"/>
    </row>
    <row r="22" spans="1:5" ht="12.75" outlineLevel="2">
      <c r="A22" s="51" t="s">
        <v>667</v>
      </c>
      <c r="B22" s="52" t="s">
        <v>1951</v>
      </c>
      <c r="C22" s="51" t="s">
        <v>668</v>
      </c>
      <c r="D22" s="30">
        <v>1166</v>
      </c>
      <c r="E22" s="46"/>
    </row>
    <row r="23" spans="1:5" ht="12.75" outlineLevel="2">
      <c r="A23" s="51" t="s">
        <v>675</v>
      </c>
      <c r="B23" s="52" t="s">
        <v>1951</v>
      </c>
      <c r="C23" s="51" t="s">
        <v>699</v>
      </c>
      <c r="D23" s="30">
        <v>2422</v>
      </c>
      <c r="E23" s="46"/>
    </row>
    <row r="24" spans="1:5" ht="12.75" outlineLevel="2">
      <c r="A24" s="51" t="s">
        <v>472</v>
      </c>
      <c r="B24" s="52" t="s">
        <v>1951</v>
      </c>
      <c r="C24" s="51" t="s">
        <v>473</v>
      </c>
      <c r="D24" s="30">
        <v>17583</v>
      </c>
      <c r="E24" s="46"/>
    </row>
    <row r="25" spans="1:5" ht="12.75" outlineLevel="2">
      <c r="A25" s="51" t="s">
        <v>368</v>
      </c>
      <c r="B25" s="52" t="s">
        <v>1951</v>
      </c>
      <c r="C25" s="51" t="s">
        <v>369</v>
      </c>
      <c r="D25" s="30">
        <v>570</v>
      </c>
      <c r="E25" s="46"/>
    </row>
    <row r="26" spans="1:5" ht="12.75" outlineLevel="2">
      <c r="A26" s="51" t="s">
        <v>478</v>
      </c>
      <c r="B26" s="52" t="s">
        <v>1951</v>
      </c>
      <c r="C26" s="51" t="s">
        <v>479</v>
      </c>
      <c r="D26" s="30">
        <v>1276</v>
      </c>
      <c r="E26" s="46"/>
    </row>
    <row r="27" spans="1:5" ht="12.75" outlineLevel="2">
      <c r="A27" s="51" t="s">
        <v>489</v>
      </c>
      <c r="B27" s="52" t="s">
        <v>1952</v>
      </c>
      <c r="C27" s="51" t="s">
        <v>490</v>
      </c>
      <c r="D27" s="30">
        <v>1323</v>
      </c>
      <c r="E27" s="46"/>
    </row>
    <row r="28" spans="1:5" ht="12.75" outlineLevel="2">
      <c r="A28" s="51" t="s">
        <v>543</v>
      </c>
      <c r="B28" s="52" t="s">
        <v>1952</v>
      </c>
      <c r="C28" s="51" t="s">
        <v>544</v>
      </c>
      <c r="D28" s="30">
        <v>1673</v>
      </c>
      <c r="E28" s="46"/>
    </row>
    <row r="29" spans="1:5" ht="12.75" outlineLevel="2">
      <c r="A29" s="51" t="s">
        <v>545</v>
      </c>
      <c r="B29" s="52" t="s">
        <v>1952</v>
      </c>
      <c r="C29" s="51" t="s">
        <v>546</v>
      </c>
      <c r="D29" s="30">
        <v>3538</v>
      </c>
      <c r="E29" s="46"/>
    </row>
    <row r="30" spans="1:5" ht="12.75" outlineLevel="2">
      <c r="A30" s="51" t="s">
        <v>2326</v>
      </c>
      <c r="B30" s="52" t="s">
        <v>1953</v>
      </c>
      <c r="C30" s="51" t="s">
        <v>1299</v>
      </c>
      <c r="D30" s="30">
        <v>94.7</v>
      </c>
      <c r="E30" s="46"/>
    </row>
    <row r="31" spans="1:5" ht="25.5" outlineLevel="2">
      <c r="A31" s="51" t="s">
        <v>2553</v>
      </c>
      <c r="B31" s="52" t="s">
        <v>1953</v>
      </c>
      <c r="C31" s="51" t="s">
        <v>2554</v>
      </c>
      <c r="D31" s="30">
        <v>2004</v>
      </c>
      <c r="E31" s="46"/>
    </row>
    <row r="32" spans="1:5" ht="12.75" outlineLevel="2">
      <c r="A32" s="51" t="s">
        <v>2290</v>
      </c>
      <c r="B32" s="52" t="s">
        <v>1953</v>
      </c>
      <c r="C32" s="51" t="s">
        <v>2291</v>
      </c>
      <c r="D32" s="30">
        <v>3431</v>
      </c>
      <c r="E32" s="46"/>
    </row>
    <row r="33" spans="1:5" ht="12.75" outlineLevel="2">
      <c r="A33" s="51" t="s">
        <v>1317</v>
      </c>
      <c r="B33" s="52" t="s">
        <v>1953</v>
      </c>
      <c r="C33" s="51" t="s">
        <v>666</v>
      </c>
      <c r="D33" s="30">
        <v>69.2</v>
      </c>
      <c r="E33" s="46"/>
    </row>
    <row r="34" spans="1:5" ht="12.75" outlineLevel="2">
      <c r="A34" s="51" t="s">
        <v>1270</v>
      </c>
      <c r="B34" s="52" t="s">
        <v>1954</v>
      </c>
      <c r="C34" s="7" t="s">
        <v>1272</v>
      </c>
      <c r="D34" s="30">
        <v>414</v>
      </c>
      <c r="E34" s="46"/>
    </row>
    <row r="35" spans="1:5" ht="12.75" outlineLevel="2">
      <c r="A35" s="8" t="s">
        <v>2800</v>
      </c>
      <c r="B35" s="29" t="s">
        <v>1954</v>
      </c>
      <c r="C35" s="8" t="s">
        <v>1328</v>
      </c>
      <c r="D35" s="31">
        <v>757.6</v>
      </c>
      <c r="E35" s="46"/>
    </row>
    <row r="36" spans="1:5" ht="12.75" outlineLevel="2">
      <c r="A36" s="8" t="s">
        <v>986</v>
      </c>
      <c r="B36" s="29" t="s">
        <v>1955</v>
      </c>
      <c r="C36" s="8" t="s">
        <v>987</v>
      </c>
      <c r="D36" s="31">
        <v>5256</v>
      </c>
      <c r="E36" s="46"/>
    </row>
    <row r="37" spans="1:5" ht="12.75" outlineLevel="2">
      <c r="A37" s="8" t="s">
        <v>1012</v>
      </c>
      <c r="B37" s="29" t="s">
        <v>1955</v>
      </c>
      <c r="C37" s="8" t="s">
        <v>1013</v>
      </c>
      <c r="D37" s="31">
        <v>3608</v>
      </c>
      <c r="E37" s="46"/>
    </row>
    <row r="38" spans="1:5" ht="12.75" outlineLevel="2">
      <c r="A38" s="8" t="s">
        <v>1042</v>
      </c>
      <c r="B38" s="29" t="s">
        <v>1955</v>
      </c>
      <c r="C38" s="8" t="s">
        <v>1043</v>
      </c>
      <c r="D38" s="31">
        <v>9796</v>
      </c>
      <c r="E38" s="46"/>
    </row>
    <row r="39" spans="1:5" ht="12.75" outlineLevel="2">
      <c r="A39" s="8" t="s">
        <v>370</v>
      </c>
      <c r="B39" s="29" t="s">
        <v>1955</v>
      </c>
      <c r="C39" s="8" t="s">
        <v>371</v>
      </c>
      <c r="D39" s="31">
        <v>94.7</v>
      </c>
      <c r="E39" s="46"/>
    </row>
    <row r="40" spans="1:5" ht="12.75" outlineLevel="2">
      <c r="A40" s="8" t="s">
        <v>372</v>
      </c>
      <c r="B40" s="29" t="s">
        <v>1955</v>
      </c>
      <c r="C40" s="8" t="s">
        <v>371</v>
      </c>
      <c r="D40" s="31">
        <v>94.7</v>
      </c>
      <c r="E40" s="46"/>
    </row>
    <row r="41" spans="1:5" ht="12.75" outlineLevel="2">
      <c r="A41" s="8" t="s">
        <v>1076</v>
      </c>
      <c r="B41" s="29" t="s">
        <v>1956</v>
      </c>
      <c r="C41" s="8" t="s">
        <v>1080</v>
      </c>
      <c r="D41" s="31">
        <v>21.21</v>
      </c>
      <c r="E41" s="46"/>
    </row>
    <row r="42" spans="1:5" ht="13.5" customHeight="1" outlineLevel="2">
      <c r="A42" s="8" t="s">
        <v>2719</v>
      </c>
      <c r="B42" s="29" t="s">
        <v>1957</v>
      </c>
      <c r="C42" s="8" t="s">
        <v>2721</v>
      </c>
      <c r="D42" s="31">
        <v>23343</v>
      </c>
      <c r="E42" s="46"/>
    </row>
    <row r="43" spans="1:5" ht="12.75" outlineLevel="2">
      <c r="A43" s="8" t="s">
        <v>2720</v>
      </c>
      <c r="B43" s="29" t="s">
        <v>1957</v>
      </c>
      <c r="C43" s="8" t="s">
        <v>2718</v>
      </c>
      <c r="D43" s="31">
        <v>6304</v>
      </c>
      <c r="E43" s="46"/>
    </row>
    <row r="44" spans="1:5" ht="12.75" outlineLevel="2">
      <c r="A44" s="8" t="s">
        <v>2601</v>
      </c>
      <c r="B44" s="29" t="s">
        <v>1957</v>
      </c>
      <c r="C44" s="8" t="s">
        <v>2602</v>
      </c>
      <c r="D44" s="31">
        <v>24.21</v>
      </c>
      <c r="E44" s="46"/>
    </row>
    <row r="45" spans="1:5" ht="12.75" outlineLevel="2">
      <c r="A45" s="55" t="s">
        <v>1834</v>
      </c>
      <c r="B45" s="29" t="s">
        <v>1958</v>
      </c>
      <c r="C45" s="55" t="s">
        <v>2666</v>
      </c>
      <c r="D45" s="31">
        <v>386.16</v>
      </c>
      <c r="E45" s="46"/>
    </row>
    <row r="46" spans="1:5" ht="12.75" outlineLevel="2">
      <c r="A46" s="55" t="s">
        <v>1850</v>
      </c>
      <c r="B46" s="29" t="s">
        <v>1958</v>
      </c>
      <c r="C46" s="55" t="s">
        <v>1851</v>
      </c>
      <c r="D46" s="31">
        <v>24.21</v>
      </c>
      <c r="E46" s="46"/>
    </row>
    <row r="47" spans="1:5" ht="12.75" outlineLevel="2">
      <c r="A47" s="55" t="s">
        <v>1852</v>
      </c>
      <c r="B47" s="29" t="s">
        <v>1958</v>
      </c>
      <c r="C47" s="55" t="s">
        <v>1853</v>
      </c>
      <c r="D47" s="31">
        <v>24.21</v>
      </c>
      <c r="E47" s="46"/>
    </row>
    <row r="48" spans="1:5" ht="12.75" outlineLevel="2">
      <c r="A48" s="55" t="s">
        <v>1854</v>
      </c>
      <c r="B48" s="29" t="s">
        <v>1958</v>
      </c>
      <c r="C48" s="55" t="s">
        <v>1855</v>
      </c>
      <c r="D48" s="31">
        <v>8.07</v>
      </c>
      <c r="E48" s="46"/>
    </row>
    <row r="49" spans="1:5" ht="12.75" outlineLevel="2">
      <c r="A49" s="8" t="s">
        <v>2726</v>
      </c>
      <c r="B49" s="29" t="s">
        <v>1957</v>
      </c>
      <c r="C49" s="8" t="s">
        <v>1200</v>
      </c>
      <c r="D49" s="31">
        <f>7500/2</f>
        <v>3750</v>
      </c>
      <c r="E49" s="46"/>
    </row>
    <row r="50" spans="1:5" ht="12.75" outlineLevel="2">
      <c r="A50" s="8" t="s">
        <v>2502</v>
      </c>
      <c r="B50" s="29" t="s">
        <v>1959</v>
      </c>
      <c r="C50" s="8" t="s">
        <v>2503</v>
      </c>
      <c r="D50" s="31">
        <v>17136</v>
      </c>
      <c r="E50" s="46"/>
    </row>
    <row r="51" spans="1:5" ht="25.5" outlineLevel="2">
      <c r="A51" s="8" t="s">
        <v>389</v>
      </c>
      <c r="B51" s="29" t="s">
        <v>1959</v>
      </c>
      <c r="C51" s="8" t="s">
        <v>390</v>
      </c>
      <c r="D51" s="31">
        <v>59388</v>
      </c>
      <c r="E51" s="46"/>
    </row>
    <row r="52" spans="1:5" ht="12.75" outlineLevel="2">
      <c r="A52" s="8" t="s">
        <v>2044</v>
      </c>
      <c r="B52" s="29" t="s">
        <v>1960</v>
      </c>
      <c r="C52" s="8" t="s">
        <v>1186</v>
      </c>
      <c r="D52" s="31">
        <v>965.95</v>
      </c>
      <c r="E52" s="46"/>
    </row>
    <row r="53" spans="1:5" ht="12.75" outlineLevel="2">
      <c r="A53" s="8" t="s">
        <v>10</v>
      </c>
      <c r="B53" s="29" t="s">
        <v>1960</v>
      </c>
      <c r="C53" s="8" t="s">
        <v>2760</v>
      </c>
      <c r="D53" s="31">
        <v>5475.61</v>
      </c>
      <c r="E53" s="46"/>
    </row>
    <row r="54" spans="1:5" ht="12.75" outlineLevel="2">
      <c r="A54" s="8" t="s">
        <v>940</v>
      </c>
      <c r="B54" s="29" t="s">
        <v>1960</v>
      </c>
      <c r="C54" s="8" t="s">
        <v>919</v>
      </c>
      <c r="D54" s="31">
        <v>4545.6</v>
      </c>
      <c r="E54" s="46"/>
    </row>
    <row r="55" spans="1:5" ht="25.5" outlineLevel="2">
      <c r="A55" s="8" t="s">
        <v>720</v>
      </c>
      <c r="B55" s="29" t="s">
        <v>1961</v>
      </c>
      <c r="C55" s="8" t="s">
        <v>721</v>
      </c>
      <c r="D55" s="31">
        <v>3661</v>
      </c>
      <c r="E55" s="46"/>
    </row>
    <row r="56" spans="1:5" ht="25.5" outlineLevel="2">
      <c r="A56" s="8" t="s">
        <v>737</v>
      </c>
      <c r="B56" s="29" t="s">
        <v>1961</v>
      </c>
      <c r="C56" s="8" t="s">
        <v>738</v>
      </c>
      <c r="D56" s="31">
        <v>644</v>
      </c>
      <c r="E56" s="46"/>
    </row>
    <row r="57" spans="1:5" ht="12.75" outlineLevel="2">
      <c r="A57" s="8" t="s">
        <v>888</v>
      </c>
      <c r="B57" s="29" t="s">
        <v>1961</v>
      </c>
      <c r="C57" s="8" t="s">
        <v>761</v>
      </c>
      <c r="D57" s="31">
        <v>10810</v>
      </c>
      <c r="E57" s="46"/>
    </row>
    <row r="58" spans="1:5" ht="12.75" outlineLevel="2">
      <c r="A58" s="8" t="s">
        <v>1371</v>
      </c>
      <c r="B58" s="29" t="s">
        <v>1961</v>
      </c>
      <c r="C58" s="8" t="s">
        <v>1372</v>
      </c>
      <c r="D58" s="31">
        <v>3193.18</v>
      </c>
      <c r="E58" s="46"/>
    </row>
    <row r="59" spans="1:5" ht="12.75" outlineLevel="2">
      <c r="A59" s="8" t="s">
        <v>1390</v>
      </c>
      <c r="B59" s="29" t="s">
        <v>1961</v>
      </c>
      <c r="C59" s="8" t="s">
        <v>1391</v>
      </c>
      <c r="D59" s="31">
        <v>2137.4</v>
      </c>
      <c r="E59" s="46"/>
    </row>
    <row r="60" spans="1:5" ht="25.5" outlineLevel="2">
      <c r="A60" s="55" t="s">
        <v>1445</v>
      </c>
      <c r="B60" s="52" t="s">
        <v>1961</v>
      </c>
      <c r="C60" s="55" t="s">
        <v>1446</v>
      </c>
      <c r="D60" s="31">
        <v>10545</v>
      </c>
      <c r="E60" s="46"/>
    </row>
    <row r="61" spans="1:5" ht="25.5" outlineLevel="2">
      <c r="A61" s="8" t="s">
        <v>1543</v>
      </c>
      <c r="B61" s="29" t="s">
        <v>1961</v>
      </c>
      <c r="C61" s="55" t="s">
        <v>1516</v>
      </c>
      <c r="D61" s="31">
        <v>32.27</v>
      </c>
      <c r="E61" s="46"/>
    </row>
    <row r="62" spans="1:5" ht="12.75" outlineLevel="2">
      <c r="A62" s="8" t="s">
        <v>1546</v>
      </c>
      <c r="B62" s="29" t="s">
        <v>1961</v>
      </c>
      <c r="C62" s="55" t="s">
        <v>1516</v>
      </c>
      <c r="D62" s="31">
        <v>8.07</v>
      </c>
      <c r="E62" s="46"/>
    </row>
    <row r="63" spans="1:5" ht="12.75" outlineLevel="2">
      <c r="A63" s="8" t="s">
        <v>1652</v>
      </c>
      <c r="B63" s="29" t="s">
        <v>1961</v>
      </c>
      <c r="C63" s="55" t="s">
        <v>1516</v>
      </c>
      <c r="D63" s="31">
        <v>8.07</v>
      </c>
      <c r="E63" s="46"/>
    </row>
    <row r="64" spans="1:5" ht="25.5" outlineLevel="2">
      <c r="A64" s="8" t="s">
        <v>1653</v>
      </c>
      <c r="B64" s="29" t="s">
        <v>1961</v>
      </c>
      <c r="C64" s="55" t="s">
        <v>2727</v>
      </c>
      <c r="D64" s="84">
        <v>6264.54</v>
      </c>
      <c r="E64" s="46"/>
    </row>
    <row r="65" spans="1:5" ht="25.5" outlineLevel="2">
      <c r="A65" s="8" t="s">
        <v>1545</v>
      </c>
      <c r="B65" s="29" t="s">
        <v>1961</v>
      </c>
      <c r="C65" s="55" t="s">
        <v>1516</v>
      </c>
      <c r="D65" s="31">
        <v>24.21</v>
      </c>
      <c r="E65" s="46"/>
    </row>
    <row r="66" spans="1:5" ht="12.75" outlineLevel="1">
      <c r="A66" s="117" t="s">
        <v>1340</v>
      </c>
      <c r="B66" s="118"/>
      <c r="C66" s="119"/>
      <c r="D66" s="28">
        <f>SUM(D67:D68)</f>
        <v>7116.58</v>
      </c>
      <c r="E66" s="46"/>
    </row>
    <row r="67" spans="1:5" ht="12.75" outlineLevel="2">
      <c r="A67" s="9" t="s">
        <v>2487</v>
      </c>
      <c r="B67" s="29" t="s">
        <v>1959</v>
      </c>
      <c r="C67" s="7" t="s">
        <v>2488</v>
      </c>
      <c r="D67" s="30">
        <v>1889.14</v>
      </c>
      <c r="E67" s="46"/>
    </row>
    <row r="68" spans="1:5" ht="25.5" outlineLevel="2">
      <c r="A68" s="9" t="s">
        <v>2733</v>
      </c>
      <c r="B68" s="29" t="s">
        <v>1960</v>
      </c>
      <c r="C68" s="7" t="s">
        <v>2734</v>
      </c>
      <c r="D68" s="30">
        <v>5227.44</v>
      </c>
      <c r="E68" s="46"/>
    </row>
    <row r="69" spans="1:5" ht="12.75" outlineLevel="1">
      <c r="A69" s="117" t="s">
        <v>1342</v>
      </c>
      <c r="B69" s="118"/>
      <c r="C69" s="119"/>
      <c r="D69" s="28">
        <f>SUM(D70:D70)</f>
        <v>48031.73</v>
      </c>
      <c r="E69" s="46"/>
    </row>
    <row r="70" spans="1:5" ht="12.75" outlineLevel="2">
      <c r="A70" s="7" t="s">
        <v>731</v>
      </c>
      <c r="B70" s="29" t="s">
        <v>1961</v>
      </c>
      <c r="C70" s="7" t="s">
        <v>1157</v>
      </c>
      <c r="D70" s="30">
        <v>48031.73</v>
      </c>
      <c r="E70" s="46"/>
    </row>
    <row r="71" spans="1:5" ht="12.75" outlineLevel="1">
      <c r="A71" s="117" t="s">
        <v>1344</v>
      </c>
      <c r="B71" s="118"/>
      <c r="C71" s="119"/>
      <c r="D71" s="28">
        <f>SUM(D72:D83)</f>
        <v>248649.43</v>
      </c>
      <c r="E71" s="46"/>
    </row>
    <row r="72" spans="1:5" ht="12.75" outlineLevel="2">
      <c r="A72" s="7"/>
      <c r="B72" s="29" t="s">
        <v>849</v>
      </c>
      <c r="C72" s="7" t="s">
        <v>1950</v>
      </c>
      <c r="D72" s="30">
        <f>4576.35+3529.32+2526.67+5977.72+2588.29+1602.28</f>
        <v>20800.63</v>
      </c>
      <c r="E72" s="46"/>
    </row>
    <row r="73" spans="1:5" ht="12.75" outlineLevel="2">
      <c r="A73" s="7"/>
      <c r="B73" s="29" t="s">
        <v>1951</v>
      </c>
      <c r="C73" s="7" t="s">
        <v>1950</v>
      </c>
      <c r="D73" s="30">
        <f>4686.45+4252.19+2526.67+5799.72+2588.29+1602.28</f>
        <v>21455.6</v>
      </c>
      <c r="E73" s="46"/>
    </row>
    <row r="74" spans="1:5" ht="12.75" outlineLevel="2">
      <c r="A74" s="7"/>
      <c r="B74" s="29" t="s">
        <v>1952</v>
      </c>
      <c r="C74" s="7" t="s">
        <v>1950</v>
      </c>
      <c r="D74" s="30">
        <f>4868.45+4252.19+2562.67+5977.72+2588.29+1602.28+369.76</f>
        <v>22221.359999999997</v>
      </c>
      <c r="E74" s="46"/>
    </row>
    <row r="75" spans="1:5" ht="12.75" outlineLevel="2">
      <c r="A75" s="7"/>
      <c r="B75" s="29" t="s">
        <v>1953</v>
      </c>
      <c r="C75" s="7" t="s">
        <v>1950</v>
      </c>
      <c r="D75" s="30">
        <f>4868.45+3759.19+8504.39+2465.04+1602.28+317.99</f>
        <v>21517.34</v>
      </c>
      <c r="E75" s="46"/>
    </row>
    <row r="76" spans="1:5" ht="12.75" outlineLevel="2">
      <c r="A76" s="7"/>
      <c r="B76" s="29" t="s">
        <v>1954</v>
      </c>
      <c r="C76" s="7" t="s">
        <v>1950</v>
      </c>
      <c r="D76" s="30">
        <f>3700.03+2612.94+7962.08+2166.15+1463.62+332.78</f>
        <v>18237.6</v>
      </c>
      <c r="E76" s="46"/>
    </row>
    <row r="77" spans="1:5" ht="12.75" outlineLevel="2">
      <c r="A77" s="7"/>
      <c r="B77" s="29" t="s">
        <v>1955</v>
      </c>
      <c r="C77" s="7" t="s">
        <v>1950</v>
      </c>
      <c r="D77" s="30">
        <f>486.85+1633.09+4252.19+1140.08+770.33</f>
        <v>8282.539999999999</v>
      </c>
      <c r="E77" s="46"/>
    </row>
    <row r="78" spans="1:5" ht="12.75" outlineLevel="2">
      <c r="A78" s="7"/>
      <c r="B78" s="29" t="s">
        <v>1956</v>
      </c>
      <c r="C78" s="7" t="s">
        <v>1950</v>
      </c>
      <c r="D78" s="30">
        <f>5423.09+3635.93+9490.4+2101.45+1725.53</f>
        <v>22376.399999999998</v>
      </c>
      <c r="E78" s="46"/>
    </row>
    <row r="79" spans="1:5" ht="12.75" outlineLevel="2">
      <c r="A79" s="7"/>
      <c r="B79" s="29" t="s">
        <v>1957</v>
      </c>
      <c r="C79" s="7" t="s">
        <v>1950</v>
      </c>
      <c r="D79" s="30">
        <f>5423.09+3635.93+9490.45+2101.45+1725.53</f>
        <v>22376.45</v>
      </c>
      <c r="E79" s="46"/>
    </row>
    <row r="80" spans="1:5" ht="12.75" outlineLevel="2">
      <c r="A80" s="7"/>
      <c r="B80" s="29" t="s">
        <v>1958</v>
      </c>
      <c r="C80" s="7" t="s">
        <v>1950</v>
      </c>
      <c r="D80" s="30">
        <f>5423.09+3635.93+9490.4+2101.45+1725.53</f>
        <v>22376.399999999998</v>
      </c>
      <c r="E80" s="46"/>
    </row>
    <row r="81" spans="1:5" ht="12.75" outlineLevel="2">
      <c r="A81" s="7"/>
      <c r="B81" s="29" t="s">
        <v>1959</v>
      </c>
      <c r="C81" s="7" t="s">
        <v>1950</v>
      </c>
      <c r="D81" s="30">
        <f>5423.09+3635.93+9490.4+2101.45+741.98</f>
        <v>21392.85</v>
      </c>
      <c r="E81" s="46"/>
    </row>
    <row r="82" spans="1:5" ht="12.75" outlineLevel="2">
      <c r="A82" s="7"/>
      <c r="B82" s="29" t="s">
        <v>1960</v>
      </c>
      <c r="C82" s="7" t="s">
        <v>1950</v>
      </c>
      <c r="D82" s="30">
        <f>5423.09+4745.2+2834.8+6655.61+2896.42+1725.53</f>
        <v>24280.65</v>
      </c>
      <c r="E82" s="46"/>
    </row>
    <row r="83" spans="1:5" ht="12.75" outlineLevel="2">
      <c r="A83" s="11"/>
      <c r="B83" s="29" t="s">
        <v>1961</v>
      </c>
      <c r="C83" s="7" t="s">
        <v>1950</v>
      </c>
      <c r="D83" s="30">
        <f>5423.09+3796.16+2834.8+6655.61+2896.42+1725.53</f>
        <v>23331.61</v>
      </c>
      <c r="E83" s="46"/>
    </row>
    <row r="84" spans="1:5" ht="12.75" outlineLevel="1">
      <c r="A84" s="117" t="s">
        <v>1346</v>
      </c>
      <c r="B84" s="118"/>
      <c r="C84" s="119"/>
      <c r="D84" s="28">
        <f>SUM(D85:D95)</f>
        <v>19972.42</v>
      </c>
      <c r="E84" s="46"/>
    </row>
    <row r="85" spans="1:5" ht="12.75" outlineLevel="2">
      <c r="A85" s="7" t="s">
        <v>1971</v>
      </c>
      <c r="B85" s="29" t="s">
        <v>849</v>
      </c>
      <c r="C85" s="7" t="s">
        <v>1972</v>
      </c>
      <c r="D85" s="30">
        <v>610</v>
      </c>
      <c r="E85" s="46"/>
    </row>
    <row r="86" spans="1:5" ht="12.75" outlineLevel="2">
      <c r="A86" s="7" t="s">
        <v>2055</v>
      </c>
      <c r="B86" s="29" t="s">
        <v>849</v>
      </c>
      <c r="C86" s="7" t="s">
        <v>2056</v>
      </c>
      <c r="D86" s="30">
        <v>2000</v>
      </c>
      <c r="E86" s="46"/>
    </row>
    <row r="87" spans="1:5" ht="12.75" outlineLevel="2">
      <c r="A87" s="7" t="s">
        <v>2057</v>
      </c>
      <c r="B87" s="29" t="s">
        <v>849</v>
      </c>
      <c r="C87" s="7" t="s">
        <v>2056</v>
      </c>
      <c r="D87" s="30">
        <v>1500</v>
      </c>
      <c r="E87" s="46"/>
    </row>
    <row r="88" spans="1:5" ht="12.75" outlineLevel="2">
      <c r="A88" s="7" t="s">
        <v>2059</v>
      </c>
      <c r="B88" s="29" t="s">
        <v>849</v>
      </c>
      <c r="C88" s="7" t="s">
        <v>2056</v>
      </c>
      <c r="D88" s="30">
        <v>2160</v>
      </c>
      <c r="E88" s="46"/>
    </row>
    <row r="89" spans="1:5" ht="12.75" outlineLevel="2">
      <c r="A89" s="51" t="s">
        <v>2196</v>
      </c>
      <c r="B89" s="52" t="s">
        <v>849</v>
      </c>
      <c r="C89" s="51" t="s">
        <v>2197</v>
      </c>
      <c r="D89" s="30">
        <v>2465.22</v>
      </c>
      <c r="E89" s="46"/>
    </row>
    <row r="90" spans="1:5" ht="12.75" outlineLevel="2">
      <c r="A90" s="51" t="s">
        <v>2240</v>
      </c>
      <c r="B90" s="29" t="s">
        <v>1952</v>
      </c>
      <c r="C90" s="7" t="s">
        <v>2393</v>
      </c>
      <c r="D90" s="30">
        <v>200</v>
      </c>
      <c r="E90" s="46"/>
    </row>
    <row r="91" spans="1:5" ht="12.75" outlineLevel="2">
      <c r="A91" s="51" t="s">
        <v>2240</v>
      </c>
      <c r="B91" s="29" t="s">
        <v>1952</v>
      </c>
      <c r="C91" s="7" t="s">
        <v>2394</v>
      </c>
      <c r="D91" s="30">
        <v>19.5</v>
      </c>
      <c r="E91" s="46"/>
    </row>
    <row r="92" spans="1:5" ht="12.75" outlineLevel="2">
      <c r="A92" s="51" t="s">
        <v>2240</v>
      </c>
      <c r="B92" s="29" t="s">
        <v>1952</v>
      </c>
      <c r="C92" s="7" t="s">
        <v>2390</v>
      </c>
      <c r="D92" s="30">
        <v>350</v>
      </c>
      <c r="E92" s="46"/>
    </row>
    <row r="93" spans="1:5" ht="12.75" outlineLevel="2">
      <c r="A93" s="7" t="s">
        <v>459</v>
      </c>
      <c r="B93" s="29" t="s">
        <v>1958</v>
      </c>
      <c r="C93" s="7" t="s">
        <v>709</v>
      </c>
      <c r="D93" s="30">
        <v>8201.1</v>
      </c>
      <c r="E93" s="46"/>
    </row>
    <row r="94" spans="1:5" ht="12.75" outlineLevel="2">
      <c r="A94" s="51" t="s">
        <v>220</v>
      </c>
      <c r="B94" s="52" t="s">
        <v>1961</v>
      </c>
      <c r="C94" s="51" t="s">
        <v>221</v>
      </c>
      <c r="D94" s="30">
        <v>466.6</v>
      </c>
      <c r="E94" s="46"/>
    </row>
    <row r="95" spans="1:5" ht="12.75" outlineLevel="2">
      <c r="A95" s="51" t="s">
        <v>1418</v>
      </c>
      <c r="B95" s="52" t="s">
        <v>1961</v>
      </c>
      <c r="C95" s="51" t="s">
        <v>1419</v>
      </c>
      <c r="D95" s="30">
        <v>2000</v>
      </c>
      <c r="E95" s="46"/>
    </row>
    <row r="96" spans="1:5" ht="12.75" outlineLevel="1">
      <c r="A96" s="117" t="s">
        <v>1341</v>
      </c>
      <c r="B96" s="118"/>
      <c r="C96" s="119"/>
      <c r="D96" s="28">
        <f>SUM(D97:D105)</f>
        <v>24866.829999999998</v>
      </c>
      <c r="E96" s="46"/>
    </row>
    <row r="97" spans="1:5" ht="12.75" outlineLevel="2">
      <c r="A97" s="7" t="s">
        <v>136</v>
      </c>
      <c r="B97" s="29" t="s">
        <v>849</v>
      </c>
      <c r="C97" s="7" t="s">
        <v>137</v>
      </c>
      <c r="D97" s="30">
        <v>6025</v>
      </c>
      <c r="E97" s="46"/>
    </row>
    <row r="98" spans="1:5" ht="12.75" outlineLevel="2">
      <c r="A98" s="7" t="s">
        <v>1191</v>
      </c>
      <c r="B98" s="29" t="s">
        <v>849</v>
      </c>
      <c r="C98" s="7" t="s">
        <v>1192</v>
      </c>
      <c r="D98" s="30">
        <v>321</v>
      </c>
      <c r="E98" s="46"/>
    </row>
    <row r="99" spans="1:5" ht="12.75" outlineLevel="2">
      <c r="A99" s="7" t="s">
        <v>1721</v>
      </c>
      <c r="B99" s="29" t="s">
        <v>849</v>
      </c>
      <c r="C99" s="7" t="s">
        <v>1877</v>
      </c>
      <c r="D99" s="30">
        <v>10165</v>
      </c>
      <c r="E99" s="46"/>
    </row>
    <row r="100" spans="1:5" ht="12.75" outlineLevel="2">
      <c r="A100" s="7" t="s">
        <v>1784</v>
      </c>
      <c r="B100" s="29" t="s">
        <v>849</v>
      </c>
      <c r="C100" s="7" t="s">
        <v>1876</v>
      </c>
      <c r="D100" s="30">
        <v>357</v>
      </c>
      <c r="E100" s="46"/>
    </row>
    <row r="101" spans="1:5" ht="12.75" outlineLevel="2">
      <c r="A101" s="7" t="s">
        <v>1885</v>
      </c>
      <c r="B101" s="29" t="s">
        <v>849</v>
      </c>
      <c r="C101" s="7" t="s">
        <v>1886</v>
      </c>
      <c r="D101" s="30">
        <v>1881</v>
      </c>
      <c r="E101" s="46"/>
    </row>
    <row r="102" spans="1:5" ht="12.75" outlineLevel="2">
      <c r="A102" s="7" t="s">
        <v>1901</v>
      </c>
      <c r="B102" s="29" t="s">
        <v>849</v>
      </c>
      <c r="C102" s="7" t="s">
        <v>2217</v>
      </c>
      <c r="D102" s="30">
        <v>602</v>
      </c>
      <c r="E102" s="46"/>
    </row>
    <row r="103" spans="1:5" ht="12.75" outlineLevel="2">
      <c r="A103" s="7" t="s">
        <v>23</v>
      </c>
      <c r="B103" s="29" t="s">
        <v>1952</v>
      </c>
      <c r="C103" s="7" t="s">
        <v>26</v>
      </c>
      <c r="D103" s="30">
        <v>299</v>
      </c>
      <c r="E103" s="46"/>
    </row>
    <row r="104" spans="1:5" ht="12.75" outlineLevel="2">
      <c r="A104" s="7" t="s">
        <v>262</v>
      </c>
      <c r="B104" s="29" t="s">
        <v>1960</v>
      </c>
      <c r="C104" s="7" t="s">
        <v>263</v>
      </c>
      <c r="D104" s="30">
        <v>4915.05</v>
      </c>
      <c r="E104" s="46"/>
    </row>
    <row r="105" spans="1:5" ht="12.75" outlineLevel="2">
      <c r="A105" s="51" t="s">
        <v>1481</v>
      </c>
      <c r="B105" s="52" t="s">
        <v>1961</v>
      </c>
      <c r="C105" s="51" t="s">
        <v>2218</v>
      </c>
      <c r="D105" s="30">
        <v>301.78</v>
      </c>
      <c r="E105" s="46"/>
    </row>
    <row r="106" spans="1:6" ht="12.75">
      <c r="A106" s="6">
        <v>6275.4</v>
      </c>
      <c r="B106" s="6" t="s">
        <v>1356</v>
      </c>
      <c r="C106" s="37" t="s">
        <v>1345</v>
      </c>
      <c r="D106" s="23">
        <f>(6275.4*6*1.46)+(6275.4*6*1.63)</f>
        <v>116345.91599999998</v>
      </c>
      <c r="E106" s="46"/>
      <c r="F106" s="37" t="s">
        <v>1352</v>
      </c>
    </row>
    <row r="107" spans="1:6" ht="13.5" thickBot="1">
      <c r="A107" s="6">
        <v>6275.4</v>
      </c>
      <c r="B107" s="6" t="s">
        <v>1356</v>
      </c>
      <c r="C107" s="37" t="s">
        <v>1357</v>
      </c>
      <c r="D107" s="23">
        <f>(6275.4*6*0.1)+(6275.4*6*0.11)</f>
        <v>7907.003999999999</v>
      </c>
      <c r="E107" s="46"/>
      <c r="F107" s="37" t="s">
        <v>1351</v>
      </c>
    </row>
    <row r="108" spans="1:6" ht="12.75" customHeight="1" thickTop="1">
      <c r="A108" s="132" t="s">
        <v>1361</v>
      </c>
      <c r="B108" s="133"/>
      <c r="C108" s="134"/>
      <c r="D108" s="76">
        <f>(6275.4*6*0.94)+(6275.4*6*1.03)</f>
        <v>74175.22799999999</v>
      </c>
      <c r="E108" s="48"/>
      <c r="F108" s="14" t="s">
        <v>787</v>
      </c>
    </row>
    <row r="109" spans="1:6" ht="12.75" customHeight="1">
      <c r="A109" s="125" t="s">
        <v>1350</v>
      </c>
      <c r="B109" s="126"/>
      <c r="C109" s="127"/>
      <c r="D109" s="76">
        <f>(6275.4*6*1.57)+(6275.4*6*1.75)</f>
        <v>125005.96799999998</v>
      </c>
      <c r="E109" s="48"/>
      <c r="F109" s="14" t="s">
        <v>788</v>
      </c>
    </row>
    <row r="110" spans="1:6" ht="12.75" customHeight="1">
      <c r="A110" s="125" t="s">
        <v>1362</v>
      </c>
      <c r="B110" s="126"/>
      <c r="C110" s="127"/>
      <c r="D110" s="18">
        <f>10.3*(D112+D113)/100</f>
        <v>175709.65906000003</v>
      </c>
      <c r="E110" s="48"/>
      <c r="F110" s="14" t="s">
        <v>789</v>
      </c>
    </row>
    <row r="111" spans="1:6" ht="12.75" customHeight="1">
      <c r="A111" s="120" t="s">
        <v>1363</v>
      </c>
      <c r="B111" s="121"/>
      <c r="C111" s="122"/>
      <c r="D111" s="41">
        <f>D110+D109+D108+D8+D3</f>
        <v>1262115.5050599999</v>
      </c>
      <c r="E111" s="48">
        <v>1</v>
      </c>
      <c r="F111" s="14" t="s">
        <v>790</v>
      </c>
    </row>
    <row r="112" spans="1:6" ht="12.75" customHeight="1">
      <c r="A112" s="114" t="s">
        <v>1364</v>
      </c>
      <c r="B112" s="115"/>
      <c r="C112" s="116"/>
      <c r="D112" s="18">
        <v>1498799.09</v>
      </c>
      <c r="E112" s="48">
        <v>2</v>
      </c>
      <c r="F112" s="27"/>
    </row>
    <row r="113" spans="1:6" ht="12.75" customHeight="1">
      <c r="A113" s="114" t="s">
        <v>1365</v>
      </c>
      <c r="B113" s="115"/>
      <c r="C113" s="116"/>
      <c r="D113" s="18">
        <v>207119.93</v>
      </c>
      <c r="E113" s="48">
        <v>3</v>
      </c>
      <c r="F113" s="37" t="s">
        <v>1352</v>
      </c>
    </row>
    <row r="114" spans="1:6" ht="12.75" customHeight="1">
      <c r="A114" s="114" t="s">
        <v>2221</v>
      </c>
      <c r="B114" s="115"/>
      <c r="C114" s="116"/>
      <c r="D114" s="19">
        <f>1513245.6+D112</f>
        <v>3012044.6900000004</v>
      </c>
      <c r="E114" s="48">
        <v>4</v>
      </c>
      <c r="F114" s="37" t="s">
        <v>791</v>
      </c>
    </row>
    <row r="115" spans="1:6" ht="13.5" customHeight="1">
      <c r="A115" s="114" t="s">
        <v>2222</v>
      </c>
      <c r="B115" s="115"/>
      <c r="C115" s="116"/>
      <c r="D115" s="19">
        <f>993949.87+D120</f>
        <v>2164999.02</v>
      </c>
      <c r="E115" s="48">
        <v>5</v>
      </c>
      <c r="F115" s="14" t="s">
        <v>843</v>
      </c>
    </row>
    <row r="116" spans="1:6" ht="25.5" customHeight="1">
      <c r="A116" s="120" t="s">
        <v>2223</v>
      </c>
      <c r="B116" s="121"/>
      <c r="C116" s="122"/>
      <c r="D116" s="42">
        <f>2813877.66+D111</f>
        <v>4075993.16506</v>
      </c>
      <c r="E116" s="48">
        <v>6</v>
      </c>
      <c r="F116" s="14" t="s">
        <v>844</v>
      </c>
    </row>
    <row r="117" spans="1:6" ht="12.75" customHeight="1">
      <c r="A117" s="114" t="s">
        <v>2224</v>
      </c>
      <c r="B117" s="115"/>
      <c r="C117" s="116"/>
      <c r="D117" s="19">
        <f>223203.1+D113</f>
        <v>430323.03</v>
      </c>
      <c r="E117" s="48">
        <v>7</v>
      </c>
      <c r="F117" s="14" t="s">
        <v>845</v>
      </c>
    </row>
    <row r="118" spans="1:6" ht="12.75" customHeight="1">
      <c r="A118" s="114" t="s">
        <v>2225</v>
      </c>
      <c r="B118" s="115"/>
      <c r="C118" s="116"/>
      <c r="D118" s="19">
        <f>145932.7+D121</f>
        <v>307760.67000000004</v>
      </c>
      <c r="E118" s="48">
        <v>8</v>
      </c>
      <c r="F118" s="14" t="s">
        <v>787</v>
      </c>
    </row>
    <row r="119" spans="1:6" ht="12.75" customHeight="1">
      <c r="A119" s="120" t="s">
        <v>2226</v>
      </c>
      <c r="B119" s="121"/>
      <c r="C119" s="122"/>
      <c r="D119" s="42">
        <v>2968475</v>
      </c>
      <c r="E119" s="48">
        <v>9</v>
      </c>
      <c r="F119" s="14" t="s">
        <v>846</v>
      </c>
    </row>
    <row r="120" spans="1:6" ht="12.75" customHeight="1">
      <c r="A120" s="114" t="s">
        <v>779</v>
      </c>
      <c r="B120" s="115"/>
      <c r="C120" s="116"/>
      <c r="D120" s="18">
        <v>1171049.15</v>
      </c>
      <c r="E120" s="48">
        <v>10</v>
      </c>
      <c r="F120" s="14" t="s">
        <v>847</v>
      </c>
    </row>
    <row r="121" spans="1:6" ht="12.75" customHeight="1">
      <c r="A121" s="114" t="s">
        <v>780</v>
      </c>
      <c r="B121" s="115"/>
      <c r="C121" s="116"/>
      <c r="D121" s="18">
        <v>161827.97</v>
      </c>
      <c r="E121" s="48">
        <v>11</v>
      </c>
      <c r="F121" s="14" t="s">
        <v>848</v>
      </c>
    </row>
    <row r="122" spans="1:6" ht="12.75" customHeight="1">
      <c r="A122" s="120" t="s">
        <v>781</v>
      </c>
      <c r="B122" s="121"/>
      <c r="C122" s="122"/>
      <c r="D122" s="41">
        <v>0</v>
      </c>
      <c r="E122" s="48">
        <v>12</v>
      </c>
      <c r="F122" s="43"/>
    </row>
    <row r="123" spans="1:6" ht="27" customHeight="1">
      <c r="A123" s="108" t="s">
        <v>1625</v>
      </c>
      <c r="B123" s="109"/>
      <c r="C123" s="110"/>
      <c r="D123" s="26">
        <f>D114-D116</f>
        <v>-1063948.4750599996</v>
      </c>
      <c r="E123" s="48">
        <v>13</v>
      </c>
      <c r="F123" s="43"/>
    </row>
    <row r="124" spans="1:6" ht="25.5" customHeight="1">
      <c r="A124" s="108" t="s">
        <v>717</v>
      </c>
      <c r="B124" s="109"/>
      <c r="C124" s="110"/>
      <c r="D124" s="26">
        <f>D117-D119</f>
        <v>-2538151.9699999997</v>
      </c>
      <c r="E124" s="48">
        <v>14</v>
      </c>
      <c r="F124" s="43"/>
    </row>
    <row r="125" spans="1:6" ht="25.5" customHeight="1">
      <c r="A125" s="108" t="s">
        <v>718</v>
      </c>
      <c r="B125" s="109"/>
      <c r="C125" s="110"/>
      <c r="D125" s="26">
        <f>D115-D116</f>
        <v>-1910994.14506</v>
      </c>
      <c r="E125" s="48">
        <v>15</v>
      </c>
      <c r="F125" s="43"/>
    </row>
    <row r="126" ht="12.75">
      <c r="F126" s="43"/>
    </row>
  </sheetData>
  <sheetProtection/>
  <mergeCells count="28">
    <mergeCell ref="A113:C113"/>
    <mergeCell ref="A115:C115"/>
    <mergeCell ref="A66:C66"/>
    <mergeCell ref="A69:C69"/>
    <mergeCell ref="A3:C3"/>
    <mergeCell ref="A4:C4"/>
    <mergeCell ref="A8:C8"/>
    <mergeCell ref="A9:C9"/>
    <mergeCell ref="A1:D1"/>
    <mergeCell ref="A124:C124"/>
    <mergeCell ref="A125:C125"/>
    <mergeCell ref="A118:C118"/>
    <mergeCell ref="A119:C119"/>
    <mergeCell ref="A120:C120"/>
    <mergeCell ref="A121:C121"/>
    <mergeCell ref="A116:C116"/>
    <mergeCell ref="A117:C117"/>
    <mergeCell ref="A108:C108"/>
    <mergeCell ref="A122:C122"/>
    <mergeCell ref="A123:C123"/>
    <mergeCell ref="A114:C114"/>
    <mergeCell ref="A71:C71"/>
    <mergeCell ref="A84:C84"/>
    <mergeCell ref="A96:C96"/>
    <mergeCell ref="A109:C109"/>
    <mergeCell ref="A110:C110"/>
    <mergeCell ref="A111:C111"/>
    <mergeCell ref="A112:C112"/>
  </mergeCells>
  <printOptions/>
  <pageMargins left="0.17" right="0.7" top="0.75" bottom="0.75" header="0.3" footer="0.3"/>
  <pageSetup horizontalDpi="600" verticalDpi="600" orientation="portrait" paperSize="9" r:id="rId1"/>
  <ignoredErrors>
    <ignoredError sqref="D7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0" sqref="A1:D70"/>
    </sheetView>
  </sheetViews>
  <sheetFormatPr defaultColWidth="13.421875" defaultRowHeight="12.75" outlineLevelRow="2"/>
  <cols>
    <col min="1" max="1" width="12.8515625" style="1" customWidth="1"/>
    <col min="2" max="2" width="10.1406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7" customHeight="1" thickBot="1">
      <c r="A1" s="135" t="s">
        <v>1607</v>
      </c>
      <c r="B1" s="136"/>
      <c r="C1" s="136"/>
      <c r="D1" s="136"/>
    </row>
    <row r="2" spans="1:5" ht="22.5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D4+D23+D25+D38+D44+D47+D51+D52</f>
        <v>198786.21000000005</v>
      </c>
      <c r="E3" s="45"/>
    </row>
    <row r="4" spans="1:5" ht="13.5" outlineLevel="1" thickTop="1">
      <c r="A4" s="111" t="s">
        <v>1354</v>
      </c>
      <c r="B4" s="112"/>
      <c r="C4" s="113"/>
      <c r="D4" s="28">
        <f>SUM(D5:D22)</f>
        <v>19081.42</v>
      </c>
      <c r="E4" s="46"/>
    </row>
    <row r="5" spans="1:5" ht="12.75" outlineLevel="2">
      <c r="A5" s="7" t="s">
        <v>1185</v>
      </c>
      <c r="B5" s="29" t="s">
        <v>849</v>
      </c>
      <c r="C5" s="7" t="s">
        <v>1186</v>
      </c>
      <c r="D5" s="30">
        <v>1287</v>
      </c>
      <c r="E5" s="46"/>
    </row>
    <row r="6" spans="1:5" ht="12.75" outlineLevel="2">
      <c r="A6" s="7" t="s">
        <v>2172</v>
      </c>
      <c r="B6" s="29" t="s">
        <v>849</v>
      </c>
      <c r="C6" s="51" t="s">
        <v>2249</v>
      </c>
      <c r="D6" s="30">
        <v>94.7</v>
      </c>
      <c r="E6" s="46"/>
    </row>
    <row r="7" spans="1:5" ht="12.75" outlineLevel="2">
      <c r="A7" s="7" t="s">
        <v>2181</v>
      </c>
      <c r="B7" s="29" t="s">
        <v>849</v>
      </c>
      <c r="C7" s="51" t="s">
        <v>2249</v>
      </c>
      <c r="D7" s="30">
        <v>94.7</v>
      </c>
      <c r="E7" s="46"/>
    </row>
    <row r="8" spans="1:5" ht="12.75" outlineLevel="2">
      <c r="A8" s="7" t="s">
        <v>2182</v>
      </c>
      <c r="B8" s="29" t="s">
        <v>849</v>
      </c>
      <c r="C8" s="51" t="s">
        <v>2249</v>
      </c>
      <c r="D8" s="30">
        <v>108.22</v>
      </c>
      <c r="E8" s="46"/>
    </row>
    <row r="9" spans="1:5" ht="12.75" outlineLevel="2">
      <c r="A9" s="7" t="s">
        <v>2186</v>
      </c>
      <c r="B9" s="29" t="s">
        <v>849</v>
      </c>
      <c r="C9" s="51" t="s">
        <v>2249</v>
      </c>
      <c r="D9" s="30">
        <v>189.4</v>
      </c>
      <c r="E9" s="46"/>
    </row>
    <row r="10" spans="1:5" ht="12.75" outlineLevel="2">
      <c r="A10" s="7" t="s">
        <v>499</v>
      </c>
      <c r="B10" s="29" t="s">
        <v>1952</v>
      </c>
      <c r="C10" s="7" t="s">
        <v>502</v>
      </c>
      <c r="D10" s="30">
        <v>383</v>
      </c>
      <c r="E10" s="46"/>
    </row>
    <row r="11" spans="1:5" ht="12.75" outlineLevel="2">
      <c r="A11" s="7" t="s">
        <v>2422</v>
      </c>
      <c r="B11" s="29" t="s">
        <v>1953</v>
      </c>
      <c r="C11" s="7" t="s">
        <v>2427</v>
      </c>
      <c r="D11" s="30">
        <v>1484</v>
      </c>
      <c r="E11" s="46"/>
    </row>
    <row r="12" spans="1:5" ht="12.75" outlineLevel="2">
      <c r="A12" s="7" t="s">
        <v>2326</v>
      </c>
      <c r="B12" s="29" t="s">
        <v>1953</v>
      </c>
      <c r="C12" s="7" t="s">
        <v>1298</v>
      </c>
      <c r="D12" s="30">
        <v>94.7</v>
      </c>
      <c r="E12" s="46"/>
    </row>
    <row r="13" spans="1:5" ht="12.75" outlineLevel="2">
      <c r="A13" s="7" t="s">
        <v>1317</v>
      </c>
      <c r="B13" s="29" t="s">
        <v>1953</v>
      </c>
      <c r="C13" s="7" t="s">
        <v>666</v>
      </c>
      <c r="D13" s="30">
        <v>69.2</v>
      </c>
      <c r="E13" s="46"/>
    </row>
    <row r="14" spans="1:5" ht="12.75" outlineLevel="2">
      <c r="A14" s="8" t="s">
        <v>2792</v>
      </c>
      <c r="B14" s="29" t="s">
        <v>1954</v>
      </c>
      <c r="C14" s="8" t="s">
        <v>1328</v>
      </c>
      <c r="D14" s="31">
        <v>189.4</v>
      </c>
      <c r="E14" s="46"/>
    </row>
    <row r="15" spans="1:5" ht="12.75" outlineLevel="2">
      <c r="A15" s="8" t="s">
        <v>2665</v>
      </c>
      <c r="B15" s="29" t="s">
        <v>1957</v>
      </c>
      <c r="C15" s="8" t="s">
        <v>2666</v>
      </c>
      <c r="D15" s="31">
        <v>139</v>
      </c>
      <c r="E15" s="46"/>
    </row>
    <row r="16" spans="1:5" ht="12.75" outlineLevel="2">
      <c r="A16" s="8" t="s">
        <v>406</v>
      </c>
      <c r="B16" s="29" t="s">
        <v>1957</v>
      </c>
      <c r="C16" s="8" t="s">
        <v>2666</v>
      </c>
      <c r="D16" s="16">
        <v>139</v>
      </c>
      <c r="E16" s="46"/>
    </row>
    <row r="17" spans="1:5" ht="12.75" outlineLevel="2">
      <c r="A17" s="8" t="s">
        <v>1764</v>
      </c>
      <c r="B17" s="29" t="s">
        <v>1958</v>
      </c>
      <c r="C17" s="8" t="s">
        <v>438</v>
      </c>
      <c r="D17" s="31">
        <v>6554</v>
      </c>
      <c r="E17" s="46"/>
    </row>
    <row r="18" spans="1:5" ht="12.75" outlineLevel="2">
      <c r="A18" s="8" t="s">
        <v>2726</v>
      </c>
      <c r="B18" s="29" t="s">
        <v>1957</v>
      </c>
      <c r="C18" s="8" t="s">
        <v>1200</v>
      </c>
      <c r="D18" s="31">
        <f>5008/2</f>
        <v>2504</v>
      </c>
      <c r="E18" s="46"/>
    </row>
    <row r="19" spans="1:5" ht="12.75" outlineLevel="2">
      <c r="A19" s="8" t="s">
        <v>2131</v>
      </c>
      <c r="B19" s="29" t="s">
        <v>1959</v>
      </c>
      <c r="C19" s="8" t="s">
        <v>2132</v>
      </c>
      <c r="D19" s="31">
        <v>321</v>
      </c>
      <c r="E19" s="46"/>
    </row>
    <row r="20" spans="1:5" ht="12.75" outlineLevel="2">
      <c r="A20" s="8" t="s">
        <v>10</v>
      </c>
      <c r="B20" s="29" t="s">
        <v>1960</v>
      </c>
      <c r="C20" s="8" t="s">
        <v>2760</v>
      </c>
      <c r="D20" s="31">
        <v>1591.02</v>
      </c>
      <c r="E20" s="46"/>
    </row>
    <row r="21" spans="1:5" ht="12.75" customHeight="1" outlineLevel="2">
      <c r="A21" s="8" t="s">
        <v>927</v>
      </c>
      <c r="B21" s="29" t="s">
        <v>1960</v>
      </c>
      <c r="C21" s="8" t="s">
        <v>924</v>
      </c>
      <c r="D21" s="31">
        <v>2272.8</v>
      </c>
      <c r="E21" s="46"/>
    </row>
    <row r="22" spans="1:5" ht="12.75" customHeight="1" outlineLevel="2">
      <c r="A22" s="8" t="s">
        <v>1653</v>
      </c>
      <c r="B22" s="29" t="s">
        <v>1961</v>
      </c>
      <c r="C22" s="55" t="s">
        <v>2727</v>
      </c>
      <c r="D22" s="31">
        <v>1566.28</v>
      </c>
      <c r="E22" s="46"/>
    </row>
    <row r="23" spans="1:5" ht="12.75" outlineLevel="1">
      <c r="A23" s="117" t="s">
        <v>1342</v>
      </c>
      <c r="B23" s="118"/>
      <c r="C23" s="119"/>
      <c r="D23" s="28">
        <f>SUM(D24:D24)</f>
        <v>19593.9</v>
      </c>
      <c r="E23" s="46"/>
    </row>
    <row r="24" spans="1:5" ht="12.75" outlineLevel="2">
      <c r="A24" s="7" t="s">
        <v>730</v>
      </c>
      <c r="B24" s="29" t="s">
        <v>1961</v>
      </c>
      <c r="C24" s="7" t="s">
        <v>1157</v>
      </c>
      <c r="D24" s="30">
        <v>19593.9</v>
      </c>
      <c r="E24" s="46"/>
    </row>
    <row r="25" spans="1:5" ht="12.75" outlineLevel="1">
      <c r="A25" s="117" t="s">
        <v>1344</v>
      </c>
      <c r="B25" s="118"/>
      <c r="C25" s="119"/>
      <c r="D25" s="28">
        <f>SUM(D26:D37)</f>
        <v>98011.64000000001</v>
      </c>
      <c r="E25" s="46"/>
    </row>
    <row r="26" spans="1:5" ht="12.75" outlineLevel="2">
      <c r="A26" s="7"/>
      <c r="B26" s="29" t="s">
        <v>849</v>
      </c>
      <c r="C26" s="7" t="s">
        <v>1950</v>
      </c>
      <c r="D26" s="30">
        <f>1735.68+1612.74+958.29+2267.18+981.67+607.7</f>
        <v>8163.259999999999</v>
      </c>
      <c r="E26" s="46"/>
    </row>
    <row r="27" spans="1:5" ht="12.75" outlineLevel="2">
      <c r="A27" s="7"/>
      <c r="B27" s="29" t="s">
        <v>1951</v>
      </c>
      <c r="C27" s="7" t="s">
        <v>1950</v>
      </c>
      <c r="D27" s="30">
        <f>1846.47+1612.74+958.29+267.18+981.67+607.7</f>
        <v>6274.05</v>
      </c>
      <c r="E27" s="46"/>
    </row>
    <row r="28" spans="1:5" ht="12.75" outlineLevel="2">
      <c r="A28" s="7"/>
      <c r="B28" s="29" t="s">
        <v>1952</v>
      </c>
      <c r="C28" s="7" t="s">
        <v>1950</v>
      </c>
      <c r="D28" s="30">
        <f>2337.3+1846.47+1612.74+958.29+2267.18+981.67+607.7+140.24</f>
        <v>10751.59</v>
      </c>
      <c r="E28" s="46"/>
    </row>
    <row r="29" spans="1:5" ht="12.75" outlineLevel="2">
      <c r="A29" s="7"/>
      <c r="B29" s="29" t="s">
        <v>1953</v>
      </c>
      <c r="C29" s="7" t="s">
        <v>1950</v>
      </c>
      <c r="D29" s="30">
        <f>1846.47+1425.75+3225.47+934.92+607.7+140.24</f>
        <v>8180.55</v>
      </c>
      <c r="E29" s="46"/>
    </row>
    <row r="30" spans="1:5" ht="12.75" outlineLevel="2">
      <c r="A30" s="7"/>
      <c r="B30" s="29" t="s">
        <v>1954</v>
      </c>
      <c r="C30" s="7" t="s">
        <v>1950</v>
      </c>
      <c r="D30" s="30">
        <f>1403.31+991.02+3019.79+821.56+555.1+133.23</f>
        <v>6924.01</v>
      </c>
      <c r="E30" s="46"/>
    </row>
    <row r="31" spans="1:5" ht="12.75" outlineLevel="2">
      <c r="A31" s="7"/>
      <c r="B31" s="29" t="s">
        <v>1955</v>
      </c>
      <c r="C31" s="7" t="s">
        <v>1950</v>
      </c>
      <c r="D31" s="30">
        <f>184.65+619.38+1612.74+432.4+292.16</f>
        <v>3141.33</v>
      </c>
      <c r="E31" s="46"/>
    </row>
    <row r="32" spans="1:5" ht="12.75" outlineLevel="2">
      <c r="A32" s="7"/>
      <c r="B32" s="29" t="s">
        <v>1956</v>
      </c>
      <c r="C32" s="7" t="s">
        <v>1950</v>
      </c>
      <c r="D32" s="30">
        <f>2056.82+1379.01+3599.44+797.02+654.44</f>
        <v>8486.730000000001</v>
      </c>
      <c r="E32" s="46"/>
    </row>
    <row r="33" spans="1:5" ht="12.75" outlineLevel="2">
      <c r="A33" s="7"/>
      <c r="B33" s="29" t="s">
        <v>1957</v>
      </c>
      <c r="C33" s="7" t="s">
        <v>1950</v>
      </c>
      <c r="D33" s="30">
        <f>2056.82+1379.01+3599.44+797.02+654.44+2945</f>
        <v>11431.730000000001</v>
      </c>
      <c r="E33" s="46"/>
    </row>
    <row r="34" spans="1:5" ht="12.75" outlineLevel="2">
      <c r="A34" s="7"/>
      <c r="B34" s="29" t="s">
        <v>1958</v>
      </c>
      <c r="C34" s="7" t="s">
        <v>1950</v>
      </c>
      <c r="D34" s="30">
        <f>2056.82+1379.01+3599.44+797.02+654.44</f>
        <v>8486.730000000001</v>
      </c>
      <c r="E34" s="46"/>
    </row>
    <row r="35" spans="1:5" ht="12.75" outlineLevel="2">
      <c r="A35" s="7"/>
      <c r="B35" s="29" t="s">
        <v>1959</v>
      </c>
      <c r="C35" s="7" t="s">
        <v>1950</v>
      </c>
      <c r="D35" s="30">
        <f>2056.82+1379.01+3599.44+797.02+281.41</f>
        <v>8113.700000000001</v>
      </c>
      <c r="E35" s="46"/>
    </row>
    <row r="36" spans="1:5" ht="12.75" outlineLevel="2">
      <c r="A36" s="7"/>
      <c r="B36" s="29" t="s">
        <v>1960</v>
      </c>
      <c r="C36" s="7" t="s">
        <v>1950</v>
      </c>
      <c r="D36" s="30">
        <f>2056.82+1799.72+1075.16+2524.28+1098.53+654.44</f>
        <v>9208.95</v>
      </c>
      <c r="E36" s="46"/>
    </row>
    <row r="37" spans="1:5" ht="12.75" outlineLevel="2">
      <c r="A37" s="11"/>
      <c r="B37" s="29" t="s">
        <v>1961</v>
      </c>
      <c r="C37" s="7" t="s">
        <v>1950</v>
      </c>
      <c r="D37" s="30">
        <f>2056.82+1439.78+1075.16+2524.28+1098.53+654.44</f>
        <v>8849.010000000002</v>
      </c>
      <c r="E37" s="46"/>
    </row>
    <row r="38" spans="1:5" ht="12.75" outlineLevel="1">
      <c r="A38" s="117" t="s">
        <v>1346</v>
      </c>
      <c r="B38" s="118"/>
      <c r="C38" s="119"/>
      <c r="D38" s="28">
        <f>SUM(D39:D43)</f>
        <v>10077.35</v>
      </c>
      <c r="E38" s="46"/>
    </row>
    <row r="39" spans="1:5" ht="12.75" outlineLevel="2">
      <c r="A39" s="7" t="s">
        <v>2057</v>
      </c>
      <c r="B39" s="29" t="s">
        <v>849</v>
      </c>
      <c r="C39" s="7" t="s">
        <v>2056</v>
      </c>
      <c r="D39" s="30">
        <v>1500</v>
      </c>
      <c r="E39" s="46"/>
    </row>
    <row r="40" spans="1:5" ht="12.75" outlineLevel="2">
      <c r="A40" s="7" t="s">
        <v>2360</v>
      </c>
      <c r="B40" s="29" t="s">
        <v>1952</v>
      </c>
      <c r="C40" s="7" t="s">
        <v>2361</v>
      </c>
      <c r="D40" s="30">
        <v>3558.75</v>
      </c>
      <c r="E40" s="46"/>
    </row>
    <row r="41" spans="1:5" ht="12.75" outlineLevel="2">
      <c r="A41" s="7" t="s">
        <v>1701</v>
      </c>
      <c r="B41" s="29" t="s">
        <v>1957</v>
      </c>
      <c r="C41" s="7" t="s">
        <v>1702</v>
      </c>
      <c r="D41" s="30">
        <v>880</v>
      </c>
      <c r="E41" s="46"/>
    </row>
    <row r="42" spans="1:5" ht="12.75" outlineLevel="2">
      <c r="A42" s="7" t="s">
        <v>459</v>
      </c>
      <c r="B42" s="29" t="s">
        <v>1958</v>
      </c>
      <c r="C42" s="7" t="s">
        <v>709</v>
      </c>
      <c r="D42" s="30">
        <v>4034.6</v>
      </c>
      <c r="E42" s="46"/>
    </row>
    <row r="43" spans="1:5" ht="12.75" outlineLevel="2">
      <c r="A43" s="7" t="s">
        <v>1789</v>
      </c>
      <c r="B43" s="29" t="s">
        <v>1958</v>
      </c>
      <c r="C43" s="51" t="s">
        <v>1608</v>
      </c>
      <c r="D43" s="30">
        <v>104</v>
      </c>
      <c r="E43" s="46"/>
    </row>
    <row r="44" spans="1:5" ht="12.75" outlineLevel="1">
      <c r="A44" s="117" t="s">
        <v>1341</v>
      </c>
      <c r="B44" s="118"/>
      <c r="C44" s="119"/>
      <c r="D44" s="28">
        <f>SUM(D45:D46)</f>
        <v>1963.48</v>
      </c>
      <c r="E44" s="46"/>
    </row>
    <row r="45" spans="1:5" ht="12.75" outlineLevel="2">
      <c r="A45" s="7" t="s">
        <v>23</v>
      </c>
      <c r="B45" s="29" t="s">
        <v>1952</v>
      </c>
      <c r="C45" s="7" t="s">
        <v>24</v>
      </c>
      <c r="D45" s="30">
        <v>598</v>
      </c>
      <c r="E45" s="46"/>
    </row>
    <row r="46" spans="1:5" ht="12.75" outlineLevel="2">
      <c r="A46" s="7" t="s">
        <v>2437</v>
      </c>
      <c r="B46" s="29" t="s">
        <v>1959</v>
      </c>
      <c r="C46" s="7" t="s">
        <v>2433</v>
      </c>
      <c r="D46" s="30">
        <v>1365.48</v>
      </c>
      <c r="E46" s="46"/>
    </row>
    <row r="47" spans="1:5" ht="12.75" outlineLevel="1">
      <c r="A47" s="117" t="s">
        <v>1347</v>
      </c>
      <c r="B47" s="118"/>
      <c r="C47" s="119"/>
      <c r="D47" s="28">
        <f>SUM(D48:D48)</f>
        <v>3777.9</v>
      </c>
      <c r="E47" s="46"/>
    </row>
    <row r="48" spans="1:5" ht="12.75" outlineLevel="2">
      <c r="A48" s="11"/>
      <c r="B48" s="29"/>
      <c r="C48" s="7" t="s">
        <v>239</v>
      </c>
      <c r="D48" s="30">
        <v>3777.9</v>
      </c>
      <c r="E48" s="46"/>
    </row>
    <row r="49" spans="1:5" ht="12.75" customHeight="1">
      <c r="A49" s="129" t="s">
        <v>1349</v>
      </c>
      <c r="B49" s="130"/>
      <c r="C49" s="131"/>
      <c r="D49" s="32">
        <f>SUM(D50:D50)</f>
        <v>55500</v>
      </c>
      <c r="E49" s="45"/>
    </row>
    <row r="50" spans="1:5" ht="12.75" outlineLevel="1">
      <c r="A50" s="13"/>
      <c r="B50" s="52" t="s">
        <v>1956</v>
      </c>
      <c r="C50" s="63" t="s">
        <v>1603</v>
      </c>
      <c r="D50" s="36">
        <v>55500</v>
      </c>
      <c r="E50" s="46"/>
    </row>
    <row r="51" spans="1:6" ht="12.75">
      <c r="A51" s="6">
        <v>2337.4</v>
      </c>
      <c r="B51" s="6" t="s">
        <v>1356</v>
      </c>
      <c r="C51" s="37" t="s">
        <v>1345</v>
      </c>
      <c r="D51" s="23">
        <f>(2337.4*6*1.46)+(2337.4*6*1.63)</f>
        <v>43335.39600000001</v>
      </c>
      <c r="E51" s="46"/>
      <c r="F51" s="37" t="s">
        <v>1352</v>
      </c>
    </row>
    <row r="52" spans="1:6" ht="13.5" thickBot="1">
      <c r="A52" s="6">
        <v>2337.4</v>
      </c>
      <c r="B52" s="6" t="s">
        <v>1356</v>
      </c>
      <c r="C52" s="37" t="s">
        <v>1357</v>
      </c>
      <c r="D52" s="58">
        <f>(2337.4*6*0.1)+(2337.4*6*0.11)</f>
        <v>2945.1240000000007</v>
      </c>
      <c r="E52" s="61"/>
      <c r="F52" s="37" t="s">
        <v>1351</v>
      </c>
    </row>
    <row r="53" spans="1:6" ht="12.75" customHeight="1" thickTop="1">
      <c r="A53" s="132" t="s">
        <v>1361</v>
      </c>
      <c r="B53" s="133"/>
      <c r="C53" s="134"/>
      <c r="D53" s="76">
        <f>(2337.4*6*0.94)+(2337.4*6*1.03)</f>
        <v>27628.068000000003</v>
      </c>
      <c r="E53" s="48"/>
      <c r="F53" s="14" t="s">
        <v>787</v>
      </c>
    </row>
    <row r="54" spans="1:6" ht="12.75" customHeight="1">
      <c r="A54" s="125" t="s">
        <v>1350</v>
      </c>
      <c r="B54" s="126"/>
      <c r="C54" s="127"/>
      <c r="D54" s="76">
        <f>(2337.4*6*1.57)+(2337.4*6*1.75)</f>
        <v>46561.00800000001</v>
      </c>
      <c r="E54" s="48"/>
      <c r="F54" s="14" t="s">
        <v>788</v>
      </c>
    </row>
    <row r="55" spans="1:6" ht="12.75" customHeight="1">
      <c r="A55" s="125" t="s">
        <v>1362</v>
      </c>
      <c r="B55" s="126"/>
      <c r="C55" s="127"/>
      <c r="D55" s="18">
        <f>10.3*(D57+D58)/100</f>
        <v>65435.18724000001</v>
      </c>
      <c r="E55" s="48"/>
      <c r="F55" s="14" t="s">
        <v>789</v>
      </c>
    </row>
    <row r="56" spans="1:6" ht="12.75" customHeight="1">
      <c r="A56" s="120" t="s">
        <v>1363</v>
      </c>
      <c r="B56" s="121"/>
      <c r="C56" s="122"/>
      <c r="D56" s="41">
        <f>D55+D54+D53+D3</f>
        <v>338410.4732400001</v>
      </c>
      <c r="E56" s="48">
        <v>1</v>
      </c>
      <c r="F56" s="14" t="s">
        <v>790</v>
      </c>
    </row>
    <row r="57" spans="1:6" ht="12.75" customHeight="1">
      <c r="A57" s="114" t="s">
        <v>1364</v>
      </c>
      <c r="B57" s="115"/>
      <c r="C57" s="116"/>
      <c r="D57" s="18">
        <v>558160.44</v>
      </c>
      <c r="E57" s="48">
        <v>2</v>
      </c>
      <c r="F57" s="27"/>
    </row>
    <row r="58" spans="1:6" ht="12.75" customHeight="1">
      <c r="A58" s="114" t="s">
        <v>1365</v>
      </c>
      <c r="B58" s="115"/>
      <c r="C58" s="116"/>
      <c r="D58" s="18">
        <v>77132.64</v>
      </c>
      <c r="E58" s="48">
        <v>3</v>
      </c>
      <c r="F58" s="37" t="s">
        <v>1352</v>
      </c>
    </row>
    <row r="59" spans="1:6" ht="12.75" customHeight="1">
      <c r="A59" s="114" t="s">
        <v>2221</v>
      </c>
      <c r="B59" s="115"/>
      <c r="C59" s="116"/>
      <c r="D59" s="19">
        <f>606997.88+D57</f>
        <v>1165158.3199999998</v>
      </c>
      <c r="E59" s="48">
        <v>4</v>
      </c>
      <c r="F59" s="37" t="s">
        <v>791</v>
      </c>
    </row>
    <row r="60" spans="1:6" ht="13.5" customHeight="1">
      <c r="A60" s="114" t="s">
        <v>2222</v>
      </c>
      <c r="B60" s="115"/>
      <c r="C60" s="116"/>
      <c r="D60" s="19">
        <f>498487.55+D65</f>
        <v>983892.52</v>
      </c>
      <c r="E60" s="48">
        <v>5</v>
      </c>
      <c r="F60" s="14" t="s">
        <v>843</v>
      </c>
    </row>
    <row r="61" spans="1:6" ht="25.5" customHeight="1">
      <c r="A61" s="120" t="s">
        <v>2223</v>
      </c>
      <c r="B61" s="121"/>
      <c r="C61" s="122"/>
      <c r="D61" s="42">
        <f>473600.13+D56</f>
        <v>812010.6032400001</v>
      </c>
      <c r="E61" s="48">
        <v>6</v>
      </c>
      <c r="F61" s="14" t="s">
        <v>844</v>
      </c>
    </row>
    <row r="62" spans="1:6" ht="12.75" customHeight="1">
      <c r="A62" s="114" t="s">
        <v>2224</v>
      </c>
      <c r="B62" s="115"/>
      <c r="C62" s="116"/>
      <c r="D62" s="19">
        <f>88558.77+D58</f>
        <v>165691.41</v>
      </c>
      <c r="E62" s="48">
        <v>7</v>
      </c>
      <c r="F62" s="14" t="s">
        <v>845</v>
      </c>
    </row>
    <row r="63" spans="1:6" ht="12.75" customHeight="1">
      <c r="A63" s="114" t="s">
        <v>2225</v>
      </c>
      <c r="B63" s="115"/>
      <c r="C63" s="116"/>
      <c r="D63" s="19">
        <f>69489.58+D66</f>
        <v>136568.08000000002</v>
      </c>
      <c r="E63" s="48">
        <v>8</v>
      </c>
      <c r="F63" s="14" t="s">
        <v>787</v>
      </c>
    </row>
    <row r="64" spans="1:6" ht="12.75" customHeight="1">
      <c r="A64" s="120" t="s">
        <v>2226</v>
      </c>
      <c r="B64" s="121"/>
      <c r="C64" s="122"/>
      <c r="D64" s="42">
        <f>D67</f>
        <v>55500</v>
      </c>
      <c r="E64" s="48">
        <v>9</v>
      </c>
      <c r="F64" s="14" t="s">
        <v>846</v>
      </c>
    </row>
    <row r="65" spans="1:6" ht="12.75" customHeight="1">
      <c r="A65" s="114" t="s">
        <v>779</v>
      </c>
      <c r="B65" s="115"/>
      <c r="C65" s="116"/>
      <c r="D65" s="18">
        <v>485404.97</v>
      </c>
      <c r="E65" s="48">
        <v>10</v>
      </c>
      <c r="F65" s="14" t="s">
        <v>847</v>
      </c>
    </row>
    <row r="66" spans="1:6" ht="12.75" customHeight="1">
      <c r="A66" s="114" t="s">
        <v>780</v>
      </c>
      <c r="B66" s="115"/>
      <c r="C66" s="116"/>
      <c r="D66" s="18">
        <v>67078.5</v>
      </c>
      <c r="E66" s="48">
        <v>11</v>
      </c>
      <c r="F66" s="14" t="s">
        <v>848</v>
      </c>
    </row>
    <row r="67" spans="1:6" ht="12.75" customHeight="1">
      <c r="A67" s="120" t="s">
        <v>781</v>
      </c>
      <c r="B67" s="121"/>
      <c r="C67" s="122"/>
      <c r="D67" s="41">
        <f>D49</f>
        <v>55500</v>
      </c>
      <c r="E67" s="48">
        <v>12</v>
      </c>
      <c r="F67" s="43"/>
    </row>
    <row r="68" spans="1:6" ht="27" customHeight="1">
      <c r="A68" s="108" t="s">
        <v>782</v>
      </c>
      <c r="B68" s="109"/>
      <c r="C68" s="110"/>
      <c r="D68" s="26">
        <f>D59-D61</f>
        <v>353147.71675999975</v>
      </c>
      <c r="E68" s="48">
        <v>13</v>
      </c>
      <c r="F68" s="43"/>
    </row>
    <row r="69" spans="1:6" ht="25.5" customHeight="1">
      <c r="A69" s="108" t="s">
        <v>717</v>
      </c>
      <c r="B69" s="109"/>
      <c r="C69" s="110"/>
      <c r="D69" s="26">
        <f>D62-D64</f>
        <v>110191.41</v>
      </c>
      <c r="E69" s="48">
        <v>14</v>
      </c>
      <c r="F69" s="43"/>
    </row>
    <row r="70" spans="1:6" ht="25.5" customHeight="1">
      <c r="A70" s="108" t="s">
        <v>784</v>
      </c>
      <c r="B70" s="109"/>
      <c r="C70" s="110"/>
      <c r="D70" s="26">
        <f>D60-D61</f>
        <v>171881.91675999993</v>
      </c>
      <c r="E70" s="48">
        <v>15</v>
      </c>
      <c r="F70" s="43"/>
    </row>
    <row r="71" ht="12.75">
      <c r="F71" s="43"/>
    </row>
  </sheetData>
  <sheetProtection/>
  <mergeCells count="27">
    <mergeCell ref="A23:C23"/>
    <mergeCell ref="A3:C3"/>
    <mergeCell ref="A4:C4"/>
    <mergeCell ref="A61:C61"/>
    <mergeCell ref="A25:C25"/>
    <mergeCell ref="A38:C38"/>
    <mergeCell ref="A44:C44"/>
    <mergeCell ref="A47:C47"/>
    <mergeCell ref="A62:C62"/>
    <mergeCell ref="A49:C49"/>
    <mergeCell ref="A53:C53"/>
    <mergeCell ref="A54:C54"/>
    <mergeCell ref="A55:C55"/>
    <mergeCell ref="A56:C56"/>
    <mergeCell ref="A57:C57"/>
    <mergeCell ref="A58:C58"/>
    <mergeCell ref="A60:C60"/>
    <mergeCell ref="A1:D1"/>
    <mergeCell ref="A69:C69"/>
    <mergeCell ref="A70:C70"/>
    <mergeCell ref="A63:C63"/>
    <mergeCell ref="A64:C64"/>
    <mergeCell ref="A65:C65"/>
    <mergeCell ref="A66:C66"/>
    <mergeCell ref="A67:C67"/>
    <mergeCell ref="A68:C68"/>
    <mergeCell ref="A59:C59"/>
  </mergeCells>
  <printOptions/>
  <pageMargins left="0.36" right="0.17" top="0.75" bottom="0.75" header="0.3" footer="0.3"/>
  <pageSetup horizontalDpi="600" verticalDpi="600" orientation="portrait" paperSize="9" r:id="rId1"/>
  <ignoredErrors>
    <ignoredError sqref="D33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6"/>
  <sheetViews>
    <sheetView tabSelected="1" zoomScalePageLayoutView="0" workbookViewId="0" topLeftCell="A1">
      <pane ySplit="2" topLeftCell="A7" activePane="bottomLeft" state="frozen"/>
      <selection pane="topLeft" activeCell="A1" sqref="A1"/>
      <selection pane="bottomLeft" activeCell="D7" sqref="D7"/>
    </sheetView>
  </sheetViews>
  <sheetFormatPr defaultColWidth="13.421875" defaultRowHeight="12.75" outlineLevelRow="2"/>
  <cols>
    <col min="1" max="1" width="13.8515625" style="1" customWidth="1"/>
    <col min="2" max="2" width="10.281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6.25" customHeight="1" thickBot="1">
      <c r="A1" s="135" t="s">
        <v>1609</v>
      </c>
      <c r="B1" s="136"/>
      <c r="C1" s="136"/>
      <c r="D1" s="136"/>
    </row>
    <row r="2" spans="1:5" ht="21.75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277987</v>
      </c>
      <c r="E3" s="45"/>
    </row>
    <row r="4" spans="1:5" ht="12.75" outlineLevel="1">
      <c r="A4" s="117" t="s">
        <v>1355</v>
      </c>
      <c r="B4" s="118"/>
      <c r="C4" s="119"/>
      <c r="D4" s="28">
        <f>SUM(D5:D5)</f>
        <v>277987</v>
      </c>
      <c r="E4" s="46"/>
    </row>
    <row r="5" spans="1:5" ht="12.75" outlineLevel="2">
      <c r="A5" s="51" t="s">
        <v>68</v>
      </c>
      <c r="B5" s="52" t="s">
        <v>1955</v>
      </c>
      <c r="C5" s="63" t="s">
        <v>69</v>
      </c>
      <c r="D5" s="30">
        <v>277987</v>
      </c>
      <c r="E5" s="46"/>
    </row>
    <row r="6" spans="1:5" ht="13.5" customHeight="1" thickBot="1">
      <c r="A6" s="124" t="s">
        <v>1343</v>
      </c>
      <c r="B6" s="124"/>
      <c r="C6" s="124"/>
      <c r="D6" s="25">
        <f>D7+D39+D42+D55+D62+D64+D65+D66+D67+D37</f>
        <v>628290.135</v>
      </c>
      <c r="E6" s="45"/>
    </row>
    <row r="7" spans="1:5" ht="13.5" outlineLevel="1" thickTop="1">
      <c r="A7" s="111" t="s">
        <v>1354</v>
      </c>
      <c r="B7" s="112"/>
      <c r="C7" s="113"/>
      <c r="D7" s="28">
        <f>SUM(D8:D36)</f>
        <v>49014.244999999995</v>
      </c>
      <c r="E7" s="46"/>
    </row>
    <row r="8" spans="1:5" ht="12.75" outlineLevel="2">
      <c r="A8" s="7" t="s">
        <v>1065</v>
      </c>
      <c r="B8" s="29" t="s">
        <v>849</v>
      </c>
      <c r="C8" s="7" t="s">
        <v>1091</v>
      </c>
      <c r="D8" s="30">
        <v>446</v>
      </c>
      <c r="E8" s="46"/>
    </row>
    <row r="9" spans="1:5" ht="12.75" outlineLevel="2">
      <c r="A9" s="7" t="s">
        <v>1755</v>
      </c>
      <c r="B9" s="29" t="s">
        <v>849</v>
      </c>
      <c r="C9" s="7" t="s">
        <v>1776</v>
      </c>
      <c r="D9" s="30">
        <v>409</v>
      </c>
      <c r="E9" s="46"/>
    </row>
    <row r="10" spans="1:5" ht="12.75" outlineLevel="2">
      <c r="A10" s="7" t="s">
        <v>2177</v>
      </c>
      <c r="B10" s="29" t="s">
        <v>849</v>
      </c>
      <c r="C10" s="7" t="s">
        <v>2179</v>
      </c>
      <c r="D10" s="30">
        <v>94.7</v>
      </c>
      <c r="E10" s="46"/>
    </row>
    <row r="11" spans="1:5" ht="12.75" outlineLevel="2">
      <c r="A11" s="7" t="s">
        <v>2178</v>
      </c>
      <c r="B11" s="29" t="s">
        <v>849</v>
      </c>
      <c r="C11" s="7" t="s">
        <v>2179</v>
      </c>
      <c r="D11" s="30">
        <v>94.7</v>
      </c>
      <c r="E11" s="46"/>
    </row>
    <row r="12" spans="1:5" ht="12.75" outlineLevel="2">
      <c r="A12" s="7" t="s">
        <v>2182</v>
      </c>
      <c r="B12" s="29" t="s">
        <v>849</v>
      </c>
      <c r="C12" s="7" t="s">
        <v>2174</v>
      </c>
      <c r="D12" s="30">
        <v>108.22</v>
      </c>
      <c r="E12" s="46"/>
    </row>
    <row r="13" spans="1:5" ht="12.75" outlineLevel="2">
      <c r="A13" s="51" t="s">
        <v>2208</v>
      </c>
      <c r="B13" s="52" t="s">
        <v>849</v>
      </c>
      <c r="C13" s="51" t="s">
        <v>2200</v>
      </c>
      <c r="D13" s="30">
        <v>307.77</v>
      </c>
      <c r="E13" s="46"/>
    </row>
    <row r="14" spans="1:5" ht="12.75" outlineLevel="2">
      <c r="A14" s="51" t="s">
        <v>2209</v>
      </c>
      <c r="B14" s="52" t="s">
        <v>849</v>
      </c>
      <c r="C14" s="51" t="s">
        <v>2200</v>
      </c>
      <c r="D14" s="30">
        <v>662.9</v>
      </c>
      <c r="E14" s="46"/>
    </row>
    <row r="15" spans="1:5" ht="12.75" outlineLevel="2">
      <c r="A15" s="7" t="s">
        <v>358</v>
      </c>
      <c r="B15" s="29" t="s">
        <v>1951</v>
      </c>
      <c r="C15" s="7" t="s">
        <v>359</v>
      </c>
      <c r="D15" s="30">
        <v>9622</v>
      </c>
      <c r="E15" s="46"/>
    </row>
    <row r="16" spans="1:5" ht="12.75" outlineLevel="2">
      <c r="A16" s="7" t="s">
        <v>1317</v>
      </c>
      <c r="B16" s="29" t="s">
        <v>1953</v>
      </c>
      <c r="C16" s="7" t="s">
        <v>2200</v>
      </c>
      <c r="D16" s="30">
        <v>19.31</v>
      </c>
      <c r="E16" s="46"/>
    </row>
    <row r="17" spans="1:5" ht="12.75" outlineLevel="2">
      <c r="A17" s="7" t="s">
        <v>2459</v>
      </c>
      <c r="B17" s="29" t="s">
        <v>1953</v>
      </c>
      <c r="C17" s="7" t="s">
        <v>2460</v>
      </c>
      <c r="D17" s="30">
        <v>1602</v>
      </c>
      <c r="E17" s="46"/>
    </row>
    <row r="18" spans="1:5" ht="12.75" outlineLevel="2">
      <c r="A18" s="7" t="s">
        <v>2461</v>
      </c>
      <c r="B18" s="29" t="s">
        <v>1953</v>
      </c>
      <c r="C18" s="7" t="s">
        <v>2462</v>
      </c>
      <c r="D18" s="30">
        <v>220</v>
      </c>
      <c r="E18" s="46"/>
    </row>
    <row r="19" spans="1:5" ht="12.75" outlineLevel="2">
      <c r="A19" s="8" t="s">
        <v>561</v>
      </c>
      <c r="B19" s="29" t="s">
        <v>1954</v>
      </c>
      <c r="C19" s="7" t="s">
        <v>559</v>
      </c>
      <c r="D19" s="31">
        <v>19.31</v>
      </c>
      <c r="E19" s="46"/>
    </row>
    <row r="20" spans="1:5" ht="12.75" outlineLevel="2">
      <c r="A20" s="8" t="s">
        <v>2791</v>
      </c>
      <c r="B20" s="29" t="s">
        <v>1954</v>
      </c>
      <c r="C20" s="8" t="s">
        <v>1328</v>
      </c>
      <c r="D20" s="31">
        <v>189.4</v>
      </c>
      <c r="E20" s="46"/>
    </row>
    <row r="21" spans="1:5" ht="12.75" outlineLevel="2">
      <c r="A21" s="8" t="s">
        <v>157</v>
      </c>
      <c r="B21" s="29" t="s">
        <v>1955</v>
      </c>
      <c r="C21" s="7" t="s">
        <v>158</v>
      </c>
      <c r="D21" s="31">
        <v>1383</v>
      </c>
      <c r="E21" s="46"/>
    </row>
    <row r="22" spans="1:5" ht="12.75" outlineLevel="2">
      <c r="A22" s="8" t="s">
        <v>1009</v>
      </c>
      <c r="B22" s="29" t="s">
        <v>1955</v>
      </c>
      <c r="C22" s="7" t="s">
        <v>1011</v>
      </c>
      <c r="D22" s="31">
        <v>358</v>
      </c>
      <c r="E22" s="46"/>
    </row>
    <row r="23" spans="1:5" ht="12.75" outlineLevel="2">
      <c r="A23" s="8" t="s">
        <v>1031</v>
      </c>
      <c r="B23" s="29" t="s">
        <v>1955</v>
      </c>
      <c r="C23" s="7" t="s">
        <v>1032</v>
      </c>
      <c r="D23" s="31">
        <v>1081</v>
      </c>
      <c r="E23" s="46"/>
    </row>
    <row r="24" spans="1:5" ht="12.75" outlineLevel="2">
      <c r="A24" s="8" t="s">
        <v>400</v>
      </c>
      <c r="B24" s="29" t="s">
        <v>1955</v>
      </c>
      <c r="C24" s="7" t="s">
        <v>371</v>
      </c>
      <c r="D24" s="31">
        <v>189.4</v>
      </c>
      <c r="E24" s="46"/>
    </row>
    <row r="25" spans="1:5" ht="12.75" outlineLevel="2">
      <c r="A25" s="8" t="s">
        <v>1771</v>
      </c>
      <c r="B25" s="29" t="s">
        <v>1958</v>
      </c>
      <c r="C25" s="7" t="s">
        <v>438</v>
      </c>
      <c r="D25" s="31">
        <v>13180</v>
      </c>
      <c r="E25" s="46"/>
    </row>
    <row r="26" spans="1:5" ht="12.75" outlineLevel="2">
      <c r="A26" s="8" t="s">
        <v>2726</v>
      </c>
      <c r="B26" s="29" t="s">
        <v>1957</v>
      </c>
      <c r="C26" s="8" t="s">
        <v>1200</v>
      </c>
      <c r="D26" s="31">
        <f>5008/2</f>
        <v>2504</v>
      </c>
      <c r="E26" s="46"/>
    </row>
    <row r="27" spans="1:5" ht="12.75" outlineLevel="2">
      <c r="A27" s="8" t="s">
        <v>1235</v>
      </c>
      <c r="B27" s="29" t="s">
        <v>1957</v>
      </c>
      <c r="C27" s="7" t="s">
        <v>1240</v>
      </c>
      <c r="D27" s="31">
        <f>278+410</f>
        <v>688</v>
      </c>
      <c r="E27" s="46"/>
    </row>
    <row r="28" spans="1:5" ht="12.75" outlineLevel="2">
      <c r="A28" s="8" t="s">
        <v>2133</v>
      </c>
      <c r="B28" s="29" t="s">
        <v>1959</v>
      </c>
      <c r="C28" s="8" t="s">
        <v>2134</v>
      </c>
      <c r="D28" s="31">
        <v>6880</v>
      </c>
      <c r="E28" s="46"/>
    </row>
    <row r="29" spans="1:5" ht="12.75" outlineLevel="2">
      <c r="A29" s="8" t="s">
        <v>10</v>
      </c>
      <c r="B29" s="29" t="s">
        <v>1960</v>
      </c>
      <c r="C29" s="8" t="s">
        <v>2760</v>
      </c>
      <c r="D29" s="31">
        <v>2737.8</v>
      </c>
      <c r="E29" s="46"/>
    </row>
    <row r="30" spans="1:5" ht="12.75" outlineLevel="2">
      <c r="A30" s="8" t="s">
        <v>926</v>
      </c>
      <c r="B30" s="29" t="s">
        <v>1960</v>
      </c>
      <c r="C30" s="8" t="s">
        <v>914</v>
      </c>
      <c r="D30" s="31">
        <v>2272.8</v>
      </c>
      <c r="E30" s="46"/>
    </row>
    <row r="31" spans="1:5" ht="12.75" outlineLevel="2">
      <c r="A31" s="8" t="s">
        <v>735</v>
      </c>
      <c r="B31" s="29" t="s">
        <v>1961</v>
      </c>
      <c r="C31" s="8" t="s">
        <v>736</v>
      </c>
      <c r="D31" s="31">
        <v>344</v>
      </c>
      <c r="E31" s="46"/>
    </row>
    <row r="32" spans="1:5" ht="25.5" outlineLevel="2">
      <c r="A32" s="8" t="s">
        <v>1549</v>
      </c>
      <c r="B32" s="29" t="s">
        <v>1961</v>
      </c>
      <c r="C32" s="8" t="s">
        <v>1553</v>
      </c>
      <c r="D32" s="31">
        <v>275.595</v>
      </c>
      <c r="E32" s="46"/>
    </row>
    <row r="33" spans="1:5" ht="12.75" customHeight="1" outlineLevel="2">
      <c r="A33" s="8" t="s">
        <v>1548</v>
      </c>
      <c r="B33" s="29" t="s">
        <v>1961</v>
      </c>
      <c r="C33" s="55" t="s">
        <v>1516</v>
      </c>
      <c r="D33" s="31">
        <v>115.84</v>
      </c>
      <c r="E33" s="46"/>
    </row>
    <row r="34" spans="1:5" ht="12.75" customHeight="1" outlineLevel="2">
      <c r="A34" s="8" t="s">
        <v>1547</v>
      </c>
      <c r="B34" s="29" t="s">
        <v>1961</v>
      </c>
      <c r="C34" s="55" t="s">
        <v>1516</v>
      </c>
      <c r="D34" s="31">
        <v>19.31</v>
      </c>
      <c r="E34" s="46"/>
    </row>
    <row r="35" spans="1:5" ht="12.75" customHeight="1" outlineLevel="2">
      <c r="A35" s="8" t="s">
        <v>1653</v>
      </c>
      <c r="B35" s="29" t="s">
        <v>1961</v>
      </c>
      <c r="C35" s="55" t="s">
        <v>2727</v>
      </c>
      <c r="D35" s="31">
        <v>3132.27</v>
      </c>
      <c r="E35" s="46"/>
    </row>
    <row r="36" spans="1:5" ht="12.75" customHeight="1" outlineLevel="2">
      <c r="A36" s="8" t="s">
        <v>1544</v>
      </c>
      <c r="B36" s="29" t="s">
        <v>1961</v>
      </c>
      <c r="C36" s="55" t="s">
        <v>1516</v>
      </c>
      <c r="D36" s="31">
        <v>57.92</v>
      </c>
      <c r="E36" s="46"/>
    </row>
    <row r="37" spans="1:5" ht="12.75" customHeight="1" outlineLevel="2">
      <c r="A37" s="153" t="s">
        <v>1342</v>
      </c>
      <c r="B37" s="153"/>
      <c r="C37" s="153"/>
      <c r="D37" s="154">
        <f>D38</f>
        <v>15693</v>
      </c>
      <c r="E37" s="46"/>
    </row>
    <row r="38" spans="1:5" ht="12.75" customHeight="1" outlineLevel="2">
      <c r="A38" s="62" t="s">
        <v>2810</v>
      </c>
      <c r="B38" s="155" t="s">
        <v>1959</v>
      </c>
      <c r="C38" s="152" t="s">
        <v>2811</v>
      </c>
      <c r="D38" s="31">
        <v>15693</v>
      </c>
      <c r="E38" s="46"/>
    </row>
    <row r="39" spans="1:5" ht="12.75" outlineLevel="1">
      <c r="A39" s="117" t="s">
        <v>1340</v>
      </c>
      <c r="B39" s="118"/>
      <c r="C39" s="119"/>
      <c r="D39" s="28">
        <f>SUM(D40:D41)</f>
        <v>22087</v>
      </c>
      <c r="E39" s="46"/>
    </row>
    <row r="40" spans="1:5" ht="12.75" outlineLevel="2">
      <c r="A40" s="9" t="s">
        <v>360</v>
      </c>
      <c r="B40" s="29" t="s">
        <v>1951</v>
      </c>
      <c r="C40" s="7" t="s">
        <v>361</v>
      </c>
      <c r="D40" s="30">
        <v>17631</v>
      </c>
      <c r="E40" s="46"/>
    </row>
    <row r="41" spans="1:5" ht="12.75" outlineLevel="2">
      <c r="A41" s="9" t="s">
        <v>2615</v>
      </c>
      <c r="B41" s="29" t="s">
        <v>1954</v>
      </c>
      <c r="C41" s="7" t="s">
        <v>2616</v>
      </c>
      <c r="D41" s="30">
        <v>4456</v>
      </c>
      <c r="E41" s="46"/>
    </row>
    <row r="42" spans="1:5" ht="12.75" outlineLevel="1">
      <c r="A42" s="117" t="s">
        <v>1344</v>
      </c>
      <c r="B42" s="118"/>
      <c r="C42" s="119"/>
      <c r="D42" s="28">
        <f>SUM(D43:D54)</f>
        <v>199720.08</v>
      </c>
      <c r="E42" s="46"/>
    </row>
    <row r="43" spans="1:5" ht="12.75" outlineLevel="2">
      <c r="A43" s="7"/>
      <c r="B43" s="29" t="s">
        <v>849</v>
      </c>
      <c r="C43" s="7" t="s">
        <v>1950</v>
      </c>
      <c r="D43" s="30">
        <v>16311.67</v>
      </c>
      <c r="E43" s="46"/>
    </row>
    <row r="44" spans="1:5" ht="12.75" outlineLevel="2">
      <c r="A44" s="7"/>
      <c r="B44" s="29" t="s">
        <v>1951</v>
      </c>
      <c r="C44" s="7" t="s">
        <v>1950</v>
      </c>
      <c r="D44" s="30">
        <v>16311.67</v>
      </c>
      <c r="E44" s="46"/>
    </row>
    <row r="45" spans="1:5" ht="12.75" outlineLevel="2">
      <c r="A45" s="7"/>
      <c r="B45" s="29" t="s">
        <v>1952</v>
      </c>
      <c r="C45" s="7" t="s">
        <v>1950</v>
      </c>
      <c r="D45" s="30">
        <v>16311.67</v>
      </c>
      <c r="E45" s="46"/>
    </row>
    <row r="46" spans="1:5" ht="12.75" outlineLevel="2">
      <c r="A46" s="7"/>
      <c r="B46" s="29" t="s">
        <v>1953</v>
      </c>
      <c r="C46" s="7" t="s">
        <v>1950</v>
      </c>
      <c r="D46" s="30">
        <v>16311.67</v>
      </c>
      <c r="E46" s="46"/>
    </row>
    <row r="47" spans="1:5" ht="12.75" outlineLevel="2">
      <c r="A47" s="7"/>
      <c r="B47" s="29" t="s">
        <v>1954</v>
      </c>
      <c r="C47" s="7" t="s">
        <v>1950</v>
      </c>
      <c r="D47" s="30">
        <v>16311.67</v>
      </c>
      <c r="E47" s="46"/>
    </row>
    <row r="48" spans="1:5" ht="12.75" outlineLevel="2">
      <c r="A48" s="7"/>
      <c r="B48" s="29" t="s">
        <v>1955</v>
      </c>
      <c r="C48" s="7" t="s">
        <v>1950</v>
      </c>
      <c r="D48" s="30">
        <v>16311.67</v>
      </c>
      <c r="E48" s="46"/>
    </row>
    <row r="49" spans="1:5" ht="12.75" outlineLevel="2">
      <c r="A49" s="7"/>
      <c r="B49" s="29" t="s">
        <v>1956</v>
      </c>
      <c r="C49" s="7" t="s">
        <v>1950</v>
      </c>
      <c r="D49" s="30">
        <v>18163.65</v>
      </c>
      <c r="E49" s="46"/>
    </row>
    <row r="50" spans="1:5" ht="12.75" outlineLevel="2">
      <c r="A50" s="7"/>
      <c r="B50" s="29" t="s">
        <v>1957</v>
      </c>
      <c r="C50" s="7" t="s">
        <v>1950</v>
      </c>
      <c r="D50" s="30">
        <v>18163.65</v>
      </c>
      <c r="E50" s="46"/>
    </row>
    <row r="51" spans="1:5" ht="12.75" outlineLevel="2">
      <c r="A51" s="7"/>
      <c r="B51" s="29" t="s">
        <v>1958</v>
      </c>
      <c r="C51" s="7" t="s">
        <v>1950</v>
      </c>
      <c r="D51" s="30">
        <f>3134.12+201.29+5484.71+1214.47+997.22</f>
        <v>11031.809999999998</v>
      </c>
      <c r="E51" s="46"/>
    </row>
    <row r="52" spans="1:5" ht="12.75" outlineLevel="2">
      <c r="A52" s="7"/>
      <c r="B52" s="29" t="s">
        <v>1959</v>
      </c>
      <c r="C52" s="7" t="s">
        <v>1950</v>
      </c>
      <c r="D52" s="30">
        <v>18163.65</v>
      </c>
      <c r="E52" s="46"/>
    </row>
    <row r="53" spans="1:5" ht="12.75" outlineLevel="2">
      <c r="A53" s="7"/>
      <c r="B53" s="29" t="s">
        <v>1960</v>
      </c>
      <c r="C53" s="7" t="s">
        <v>1950</v>
      </c>
      <c r="D53" s="30">
        <v>18163.65</v>
      </c>
      <c r="E53" s="46"/>
    </row>
    <row r="54" spans="1:5" ht="12.75" outlineLevel="2">
      <c r="A54" s="11"/>
      <c r="B54" s="29" t="s">
        <v>1961</v>
      </c>
      <c r="C54" s="7" t="s">
        <v>1950</v>
      </c>
      <c r="D54" s="30">
        <v>18163.65</v>
      </c>
      <c r="E54" s="46"/>
    </row>
    <row r="55" spans="1:5" ht="12.75" outlineLevel="1">
      <c r="A55" s="117" t="s">
        <v>1341</v>
      </c>
      <c r="B55" s="118"/>
      <c r="C55" s="119"/>
      <c r="D55" s="28">
        <f>SUM(D56:D61)</f>
        <v>4416.78</v>
      </c>
      <c r="E55" s="46"/>
    </row>
    <row r="56" spans="1:5" ht="12.75" outlineLevel="2">
      <c r="A56" s="7" t="s">
        <v>864</v>
      </c>
      <c r="B56" s="29" t="s">
        <v>849</v>
      </c>
      <c r="C56" s="7" t="s">
        <v>123</v>
      </c>
      <c r="D56" s="30">
        <v>33</v>
      </c>
      <c r="E56" s="46"/>
    </row>
    <row r="57" spans="1:5" ht="12.75" outlineLevel="2">
      <c r="A57" s="7" t="s">
        <v>1784</v>
      </c>
      <c r="B57" s="29" t="s">
        <v>849</v>
      </c>
      <c r="C57" s="7" t="s">
        <v>1878</v>
      </c>
      <c r="D57" s="30">
        <v>375</v>
      </c>
      <c r="E57" s="46"/>
    </row>
    <row r="58" spans="1:5" ht="12.75" outlineLevel="2">
      <c r="A58" s="51" t="s">
        <v>682</v>
      </c>
      <c r="B58" s="52" t="s">
        <v>1951</v>
      </c>
      <c r="C58" s="51" t="s">
        <v>683</v>
      </c>
      <c r="D58" s="30">
        <v>2160</v>
      </c>
      <c r="E58" s="46"/>
    </row>
    <row r="59" spans="1:5" ht="12.75" outlineLevel="2">
      <c r="A59" s="51" t="s">
        <v>679</v>
      </c>
      <c r="B59" s="52" t="s">
        <v>1951</v>
      </c>
      <c r="C59" s="51" t="s">
        <v>681</v>
      </c>
      <c r="D59" s="30">
        <v>334</v>
      </c>
      <c r="E59" s="46"/>
    </row>
    <row r="60" spans="1:5" ht="12.75" outlineLevel="2">
      <c r="A60" s="7" t="s">
        <v>2020</v>
      </c>
      <c r="B60" s="29" t="s">
        <v>1960</v>
      </c>
      <c r="C60" s="7" t="s">
        <v>2024</v>
      </c>
      <c r="D60" s="30">
        <v>811.06</v>
      </c>
      <c r="E60" s="46"/>
    </row>
    <row r="61" spans="1:5" ht="12.75" outlineLevel="2">
      <c r="A61" s="7" t="s">
        <v>218</v>
      </c>
      <c r="B61" s="29" t="s">
        <v>1961</v>
      </c>
      <c r="C61" s="7" t="s">
        <v>1389</v>
      </c>
      <c r="D61" s="30">
        <v>703.72</v>
      </c>
      <c r="E61" s="46"/>
    </row>
    <row r="62" spans="1:5" ht="12.75" outlineLevel="1">
      <c r="A62" s="117" t="s">
        <v>1347</v>
      </c>
      <c r="B62" s="118"/>
      <c r="C62" s="119"/>
      <c r="D62" s="28">
        <f>D63</f>
        <v>4216.32</v>
      </c>
      <c r="E62" s="46"/>
    </row>
    <row r="63" spans="1:5" ht="12.75" outlineLevel="2">
      <c r="A63" s="11"/>
      <c r="B63" s="29"/>
      <c r="C63" s="7" t="s">
        <v>239</v>
      </c>
      <c r="D63" s="30">
        <f>571.42+3644.9</f>
        <v>4216.32</v>
      </c>
      <c r="E63" s="46"/>
    </row>
    <row r="64" spans="1:6" ht="12.75">
      <c r="A64" s="6">
        <v>3561.5</v>
      </c>
      <c r="B64" s="6" t="s">
        <v>1356</v>
      </c>
      <c r="C64" s="37" t="s">
        <v>1345</v>
      </c>
      <c r="D64" s="23">
        <f>(3561.5*6*1.46)+(3561.5*6*1.63)</f>
        <v>66030.20999999999</v>
      </c>
      <c r="E64" s="46"/>
      <c r="F64" s="37" t="s">
        <v>1352</v>
      </c>
    </row>
    <row r="65" spans="1:6" ht="12.75">
      <c r="A65" s="6">
        <v>3561.5</v>
      </c>
      <c r="B65" s="6" t="s">
        <v>1356</v>
      </c>
      <c r="C65" s="37" t="s">
        <v>1357</v>
      </c>
      <c r="D65" s="23">
        <f>(3561.5*6*0.1)+(3561.5*6*0.11)</f>
        <v>4487.49</v>
      </c>
      <c r="E65" s="46"/>
      <c r="F65" s="37" t="s">
        <v>1351</v>
      </c>
    </row>
    <row r="66" spans="1:6" ht="12.75">
      <c r="A66" s="6">
        <v>3561.5</v>
      </c>
      <c r="B66" s="6" t="s">
        <v>1356</v>
      </c>
      <c r="C66" s="37" t="s">
        <v>1358</v>
      </c>
      <c r="D66" s="23">
        <f>(3561.5*6*5.02)+(3561.5*6*5.56)</f>
        <v>226084.01999999996</v>
      </c>
      <c r="E66" s="46"/>
      <c r="F66" s="14" t="s">
        <v>785</v>
      </c>
    </row>
    <row r="67" spans="1:6" ht="13.5" thickBot="1">
      <c r="A67" s="6">
        <v>3561.5</v>
      </c>
      <c r="B67" s="6" t="s">
        <v>1356</v>
      </c>
      <c r="C67" s="37" t="s">
        <v>1359</v>
      </c>
      <c r="D67" s="23">
        <f>(3561.5*6*0.81)+(3561.5*6*0.9)</f>
        <v>36540.990000000005</v>
      </c>
      <c r="E67" s="46"/>
      <c r="F67" s="14" t="s">
        <v>786</v>
      </c>
    </row>
    <row r="68" spans="1:6" ht="12.75" customHeight="1" thickTop="1">
      <c r="A68" s="132" t="s">
        <v>1361</v>
      </c>
      <c r="B68" s="133"/>
      <c r="C68" s="134"/>
      <c r="D68" s="67">
        <f>(3561.5*6*0.94)+(3561.5*6*1.03)</f>
        <v>42096.93</v>
      </c>
      <c r="E68" s="48"/>
      <c r="F68" s="14" t="s">
        <v>787</v>
      </c>
    </row>
    <row r="69" spans="1:6" ht="12.75" customHeight="1">
      <c r="A69" s="125" t="s">
        <v>1350</v>
      </c>
      <c r="B69" s="126"/>
      <c r="C69" s="127"/>
      <c r="D69" s="67">
        <f>(3561.5*6*1.57)+(3561.5*6*1.75)</f>
        <v>70945.08</v>
      </c>
      <c r="E69" s="48"/>
      <c r="F69" s="14" t="s">
        <v>788</v>
      </c>
    </row>
    <row r="70" spans="1:6" ht="12.75" customHeight="1">
      <c r="A70" s="125" t="s">
        <v>1362</v>
      </c>
      <c r="B70" s="126"/>
      <c r="C70" s="127"/>
      <c r="D70" s="16">
        <f>10.3*(D72+D73)/100</f>
        <v>124813.72110000001</v>
      </c>
      <c r="E70" s="48"/>
      <c r="F70" s="14" t="s">
        <v>789</v>
      </c>
    </row>
    <row r="71" spans="1:6" ht="12.75" customHeight="1">
      <c r="A71" s="120" t="s">
        <v>1363</v>
      </c>
      <c r="B71" s="121"/>
      <c r="C71" s="122"/>
      <c r="D71" s="41">
        <f>D70+D69+D68+D6+D3</f>
        <v>1144132.8661</v>
      </c>
      <c r="E71" s="48">
        <v>1</v>
      </c>
      <c r="F71" s="14" t="s">
        <v>790</v>
      </c>
    </row>
    <row r="72" spans="1:6" ht="12.75" customHeight="1">
      <c r="A72" s="114" t="s">
        <v>1364</v>
      </c>
      <c r="B72" s="115"/>
      <c r="C72" s="116"/>
      <c r="D72" s="18">
        <v>1094254.2</v>
      </c>
      <c r="E72" s="48">
        <v>2</v>
      </c>
      <c r="F72" s="27"/>
    </row>
    <row r="73" spans="1:6" ht="12.75" customHeight="1">
      <c r="A73" s="114" t="s">
        <v>1365</v>
      </c>
      <c r="B73" s="115"/>
      <c r="C73" s="116"/>
      <c r="D73" s="18">
        <v>117529.5</v>
      </c>
      <c r="E73" s="48">
        <v>3</v>
      </c>
      <c r="F73" s="37" t="s">
        <v>1352</v>
      </c>
    </row>
    <row r="74" spans="1:6" ht="12.75" customHeight="1">
      <c r="A74" s="114" t="s">
        <v>2221</v>
      </c>
      <c r="B74" s="115"/>
      <c r="C74" s="116"/>
      <c r="D74" s="19">
        <f>1030695.92+D72</f>
        <v>2124950.12</v>
      </c>
      <c r="E74" s="48">
        <v>4</v>
      </c>
      <c r="F74" s="37" t="s">
        <v>791</v>
      </c>
    </row>
    <row r="75" spans="1:6" ht="13.5" customHeight="1">
      <c r="A75" s="114" t="s">
        <v>2222</v>
      </c>
      <c r="B75" s="115"/>
      <c r="C75" s="116"/>
      <c r="D75" s="19">
        <f>791568.26+D80</f>
        <v>1738665.1800000002</v>
      </c>
      <c r="E75" s="48">
        <v>5</v>
      </c>
      <c r="F75" s="14" t="s">
        <v>843</v>
      </c>
    </row>
    <row r="76" spans="1:6" ht="25.5" customHeight="1">
      <c r="A76" s="120" t="s">
        <v>2223</v>
      </c>
      <c r="B76" s="121"/>
      <c r="C76" s="122"/>
      <c r="D76" s="42">
        <f>830549.38+D71</f>
        <v>1974682.2461</v>
      </c>
      <c r="E76" s="48">
        <v>6</v>
      </c>
      <c r="F76" s="14" t="s">
        <v>844</v>
      </c>
    </row>
    <row r="77" spans="1:6" ht="12.75" customHeight="1">
      <c r="A77" s="114" t="s">
        <v>2224</v>
      </c>
      <c r="B77" s="115"/>
      <c r="C77" s="116"/>
      <c r="D77" s="19">
        <f>119417.1+D73</f>
        <v>236946.6</v>
      </c>
      <c r="E77" s="48">
        <v>7</v>
      </c>
      <c r="F77" s="14" t="s">
        <v>845</v>
      </c>
    </row>
    <row r="78" spans="1:6" ht="12.75" customHeight="1">
      <c r="A78" s="114" t="s">
        <v>2225</v>
      </c>
      <c r="B78" s="115"/>
      <c r="C78" s="116"/>
      <c r="D78" s="19">
        <f>85650.5+D81</f>
        <v>187374.41999999998</v>
      </c>
      <c r="E78" s="48">
        <v>8</v>
      </c>
      <c r="F78" s="14" t="s">
        <v>787</v>
      </c>
    </row>
    <row r="79" spans="1:6" ht="12.75" customHeight="1">
      <c r="A79" s="120" t="s">
        <v>2226</v>
      </c>
      <c r="B79" s="121"/>
      <c r="C79" s="122"/>
      <c r="D79" s="42">
        <v>0</v>
      </c>
      <c r="E79" s="48">
        <v>9</v>
      </c>
      <c r="F79" s="14" t="s">
        <v>846</v>
      </c>
    </row>
    <row r="80" spans="1:6" ht="12.75" customHeight="1">
      <c r="A80" s="114" t="s">
        <v>779</v>
      </c>
      <c r="B80" s="115"/>
      <c r="C80" s="116"/>
      <c r="D80" s="18">
        <v>947096.92</v>
      </c>
      <c r="E80" s="48">
        <v>10</v>
      </c>
      <c r="F80" s="14" t="s">
        <v>847</v>
      </c>
    </row>
    <row r="81" spans="1:6" ht="12.75" customHeight="1">
      <c r="A81" s="114" t="s">
        <v>780</v>
      </c>
      <c r="B81" s="115"/>
      <c r="C81" s="116"/>
      <c r="D81" s="18">
        <v>101723.92</v>
      </c>
      <c r="E81" s="48">
        <v>11</v>
      </c>
      <c r="F81" s="14" t="s">
        <v>848</v>
      </c>
    </row>
    <row r="82" spans="1:6" ht="12.75" customHeight="1">
      <c r="A82" s="120" t="s">
        <v>781</v>
      </c>
      <c r="B82" s="121"/>
      <c r="C82" s="122"/>
      <c r="D82" s="41">
        <v>0</v>
      </c>
      <c r="E82" s="48">
        <v>12</v>
      </c>
      <c r="F82" s="43"/>
    </row>
    <row r="83" spans="1:6" ht="27" customHeight="1">
      <c r="A83" s="108" t="s">
        <v>782</v>
      </c>
      <c r="B83" s="109"/>
      <c r="C83" s="110"/>
      <c r="D83" s="26">
        <f>D74-D76</f>
        <v>150267.8739</v>
      </c>
      <c r="E83" s="48">
        <v>13</v>
      </c>
      <c r="F83" s="43"/>
    </row>
    <row r="84" spans="1:6" ht="25.5" customHeight="1">
      <c r="A84" s="108" t="s">
        <v>783</v>
      </c>
      <c r="B84" s="109"/>
      <c r="C84" s="110"/>
      <c r="D84" s="26">
        <f>D77-D79</f>
        <v>236946.6</v>
      </c>
      <c r="E84" s="48">
        <v>14</v>
      </c>
      <c r="F84" s="43"/>
    </row>
    <row r="85" spans="1:6" ht="25.5" customHeight="1">
      <c r="A85" s="108" t="s">
        <v>718</v>
      </c>
      <c r="B85" s="109"/>
      <c r="C85" s="110"/>
      <c r="D85" s="26">
        <f>D75-D76</f>
        <v>-236017.06609999994</v>
      </c>
      <c r="E85" s="48">
        <v>15</v>
      </c>
      <c r="F85" s="43"/>
    </row>
    <row r="86" ht="12.75">
      <c r="F86" s="43"/>
    </row>
  </sheetData>
  <sheetProtection/>
  <mergeCells count="28">
    <mergeCell ref="A62:C62"/>
    <mergeCell ref="A39:C39"/>
    <mergeCell ref="A3:C3"/>
    <mergeCell ref="A4:C4"/>
    <mergeCell ref="A6:C6"/>
    <mergeCell ref="A7:C7"/>
    <mergeCell ref="A42:C42"/>
    <mergeCell ref="A55:C55"/>
    <mergeCell ref="A37:C37"/>
    <mergeCell ref="A77:C77"/>
    <mergeCell ref="A68:C68"/>
    <mergeCell ref="A69:C69"/>
    <mergeCell ref="A70:C70"/>
    <mergeCell ref="A71:C71"/>
    <mergeCell ref="A72:C72"/>
    <mergeCell ref="A73:C73"/>
    <mergeCell ref="A75:C75"/>
    <mergeCell ref="A76:C76"/>
    <mergeCell ref="A1:D1"/>
    <mergeCell ref="A84:C84"/>
    <mergeCell ref="A85:C85"/>
    <mergeCell ref="A78:C78"/>
    <mergeCell ref="A79:C79"/>
    <mergeCell ref="A80:C80"/>
    <mergeCell ref="A81:C81"/>
    <mergeCell ref="A82:C82"/>
    <mergeCell ref="A83:C83"/>
    <mergeCell ref="A74:C74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9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2" sqref="A1:D92"/>
    </sheetView>
  </sheetViews>
  <sheetFormatPr defaultColWidth="13.421875" defaultRowHeight="12.75" outlineLevelRow="2"/>
  <cols>
    <col min="1" max="1" width="11.8515625" style="1" customWidth="1"/>
    <col min="2" max="2" width="9.421875" style="1" customWidth="1"/>
    <col min="3" max="3" width="56.28125" style="1" customWidth="1"/>
    <col min="4" max="4" width="14.57421875" style="20" customWidth="1"/>
    <col min="5" max="5" width="5.140625" style="49" customWidth="1"/>
    <col min="6" max="6" width="11.421875" style="1" customWidth="1"/>
    <col min="7" max="96" width="12.421875" style="1" customWidth="1"/>
    <col min="97" max="16384" width="13.421875" style="1" customWidth="1"/>
  </cols>
  <sheetData>
    <row r="1" spans="1:4" ht="26.25" customHeight="1" thickBot="1">
      <c r="A1" s="135" t="s">
        <v>1610</v>
      </c>
      <c r="B1" s="136"/>
      <c r="C1" s="136"/>
      <c r="D1" s="136"/>
    </row>
    <row r="2" spans="1:5" ht="21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D4+D35+D37+D42+D55+D61+D66+D69+D70</f>
        <v>312401.30999999994</v>
      </c>
      <c r="E3" s="45"/>
    </row>
    <row r="4" spans="1:5" ht="13.5" outlineLevel="1" thickTop="1">
      <c r="A4" s="111" t="s">
        <v>1354</v>
      </c>
      <c r="B4" s="112"/>
      <c r="C4" s="113"/>
      <c r="D4" s="28">
        <f>SUM(D5:D34)</f>
        <v>71468.55</v>
      </c>
      <c r="E4" s="46"/>
    </row>
    <row r="5" spans="1:5" ht="12.75" outlineLevel="2">
      <c r="A5" s="7" t="s">
        <v>3</v>
      </c>
      <c r="B5" s="29" t="s">
        <v>1952</v>
      </c>
      <c r="C5" s="7" t="s">
        <v>5</v>
      </c>
      <c r="D5" s="30">
        <v>668</v>
      </c>
      <c r="E5" s="46"/>
    </row>
    <row r="6" spans="1:5" ht="12.75" outlineLevel="2">
      <c r="A6" s="7" t="s">
        <v>2379</v>
      </c>
      <c r="B6" s="29" t="s">
        <v>1952</v>
      </c>
      <c r="C6" s="7" t="s">
        <v>2174</v>
      </c>
      <c r="D6" s="30">
        <v>94.7</v>
      </c>
      <c r="E6" s="46"/>
    </row>
    <row r="7" spans="1:5" ht="12.75" outlineLevel="2">
      <c r="A7" s="7" t="s">
        <v>2297</v>
      </c>
      <c r="B7" s="29" t="s">
        <v>1953</v>
      </c>
      <c r="C7" s="7" t="s">
        <v>2298</v>
      </c>
      <c r="D7" s="30">
        <v>3028</v>
      </c>
      <c r="E7" s="46"/>
    </row>
    <row r="8" spans="1:5" ht="12.75" outlineLevel="2">
      <c r="A8" s="7" t="s">
        <v>2309</v>
      </c>
      <c r="B8" s="29" t="s">
        <v>1953</v>
      </c>
      <c r="C8" s="7" t="s">
        <v>2311</v>
      </c>
      <c r="D8" s="30">
        <v>634</v>
      </c>
      <c r="E8" s="46"/>
    </row>
    <row r="9" spans="1:5" ht="12.75" outlineLevel="2">
      <c r="A9" s="7" t="s">
        <v>2333</v>
      </c>
      <c r="B9" s="29" t="s">
        <v>1953</v>
      </c>
      <c r="C9" s="7" t="s">
        <v>2335</v>
      </c>
      <c r="D9" s="30">
        <v>306</v>
      </c>
      <c r="E9" s="46"/>
    </row>
    <row r="10" spans="1:5" ht="12.75" outlineLevel="2">
      <c r="A10" s="7" t="s">
        <v>1330</v>
      </c>
      <c r="B10" s="29" t="s">
        <v>1953</v>
      </c>
      <c r="C10" s="7" t="s">
        <v>1331</v>
      </c>
      <c r="D10" s="30">
        <v>189.4</v>
      </c>
      <c r="E10" s="46"/>
    </row>
    <row r="11" spans="1:5" ht="12.75" outlineLevel="2">
      <c r="A11" s="7" t="s">
        <v>2605</v>
      </c>
      <c r="B11" s="29" t="s">
        <v>1954</v>
      </c>
      <c r="C11" s="7" t="s">
        <v>2606</v>
      </c>
      <c r="D11" s="30">
        <v>298</v>
      </c>
      <c r="E11" s="46"/>
    </row>
    <row r="12" spans="1:5" ht="12.75" outlineLevel="2">
      <c r="A12" s="51" t="s">
        <v>2645</v>
      </c>
      <c r="B12" s="52" t="s">
        <v>1954</v>
      </c>
      <c r="C12" s="51" t="s">
        <v>2647</v>
      </c>
      <c r="D12" s="30">
        <v>1904</v>
      </c>
      <c r="E12" s="46"/>
    </row>
    <row r="13" spans="1:5" ht="12.75" outlineLevel="2">
      <c r="A13" s="8" t="s">
        <v>582</v>
      </c>
      <c r="B13" s="29" t="s">
        <v>1954</v>
      </c>
      <c r="C13" s="7" t="s">
        <v>2777</v>
      </c>
      <c r="D13" s="30">
        <f>137.09+189.4</f>
        <v>326.49</v>
      </c>
      <c r="E13" s="46"/>
    </row>
    <row r="14" spans="1:5" ht="12.75" outlineLevel="2">
      <c r="A14" s="8" t="s">
        <v>181</v>
      </c>
      <c r="B14" s="29" t="s">
        <v>1955</v>
      </c>
      <c r="C14" s="7" t="s">
        <v>973</v>
      </c>
      <c r="D14" s="30">
        <v>1310</v>
      </c>
      <c r="E14" s="46"/>
    </row>
    <row r="15" spans="1:5" ht="12.75" outlineLevel="2">
      <c r="A15" s="8" t="s">
        <v>428</v>
      </c>
      <c r="B15" s="29" t="s">
        <v>1955</v>
      </c>
      <c r="C15" s="7" t="s">
        <v>424</v>
      </c>
      <c r="D15" s="30">
        <v>5292</v>
      </c>
      <c r="E15" s="46"/>
    </row>
    <row r="16" spans="1:5" ht="12.75" outlineLevel="2">
      <c r="A16" s="8" t="s">
        <v>1930</v>
      </c>
      <c r="B16" s="29" t="s">
        <v>1955</v>
      </c>
      <c r="C16" s="7" t="s">
        <v>424</v>
      </c>
      <c r="D16" s="30">
        <v>2458.66</v>
      </c>
      <c r="E16" s="46"/>
    </row>
    <row r="17" spans="1:5" ht="12.75" outlineLevel="2">
      <c r="A17" s="8" t="s">
        <v>2579</v>
      </c>
      <c r="B17" s="29" t="s">
        <v>1957</v>
      </c>
      <c r="C17" s="7" t="s">
        <v>2580</v>
      </c>
      <c r="D17" s="30">
        <v>8.57</v>
      </c>
      <c r="E17" s="46"/>
    </row>
    <row r="18" spans="1:5" ht="12.75" outlineLevel="2">
      <c r="A18" s="8" t="s">
        <v>2722</v>
      </c>
      <c r="B18" s="29" t="s">
        <v>1957</v>
      </c>
      <c r="C18" s="7" t="s">
        <v>1186</v>
      </c>
      <c r="D18" s="31">
        <v>1402</v>
      </c>
      <c r="E18" s="46"/>
    </row>
    <row r="19" spans="1:5" ht="12.75" outlineLevel="2">
      <c r="A19" s="8" t="s">
        <v>1212</v>
      </c>
      <c r="B19" s="29" t="s">
        <v>1957</v>
      </c>
      <c r="C19" s="7" t="s">
        <v>1213</v>
      </c>
      <c r="D19" s="31">
        <v>7036</v>
      </c>
      <c r="E19" s="46"/>
    </row>
    <row r="20" spans="1:5" ht="12.75" outlineLevel="2">
      <c r="A20" s="8" t="s">
        <v>1217</v>
      </c>
      <c r="B20" s="29" t="s">
        <v>1957</v>
      </c>
      <c r="C20" s="7" t="s">
        <v>2606</v>
      </c>
      <c r="D20" s="31">
        <v>13621</v>
      </c>
      <c r="E20" s="46"/>
    </row>
    <row r="21" spans="1:5" ht="12.75" outlineLevel="2">
      <c r="A21" s="8" t="s">
        <v>314</v>
      </c>
      <c r="B21" s="29" t="s">
        <v>1769</v>
      </c>
      <c r="C21" s="7" t="s">
        <v>315</v>
      </c>
      <c r="D21" s="31">
        <v>1222</v>
      </c>
      <c r="E21" s="46"/>
    </row>
    <row r="22" spans="1:5" ht="12.75" outlineLevel="2">
      <c r="A22" s="8" t="s">
        <v>892</v>
      </c>
      <c r="B22" s="29" t="s">
        <v>1769</v>
      </c>
      <c r="C22" s="7" t="s">
        <v>893</v>
      </c>
      <c r="D22" s="31">
        <v>2272</v>
      </c>
      <c r="E22" s="46"/>
    </row>
    <row r="23" spans="1:5" ht="12.75" outlineLevel="2">
      <c r="A23" s="8" t="s">
        <v>2001</v>
      </c>
      <c r="B23" s="29" t="s">
        <v>1959</v>
      </c>
      <c r="C23" s="7" t="s">
        <v>2727</v>
      </c>
      <c r="D23" s="31">
        <v>2387</v>
      </c>
      <c r="E23" s="46"/>
    </row>
    <row r="24" spans="1:5" ht="12.75" outlineLevel="2">
      <c r="A24" s="68" t="s">
        <v>2678</v>
      </c>
      <c r="B24" s="29" t="s">
        <v>1960</v>
      </c>
      <c r="C24" s="7" t="s">
        <v>2757</v>
      </c>
      <c r="D24" s="31">
        <v>3906.21</v>
      </c>
      <c r="E24" s="46"/>
    </row>
    <row r="25" spans="1:5" ht="12.75" outlineLevel="2">
      <c r="A25" s="8" t="s">
        <v>792</v>
      </c>
      <c r="B25" s="29" t="s">
        <v>1960</v>
      </c>
      <c r="C25" s="7" t="s">
        <v>793</v>
      </c>
      <c r="D25" s="31">
        <v>2510.14</v>
      </c>
      <c r="E25" s="46"/>
    </row>
    <row r="26" spans="1:5" ht="12.75" outlineLevel="2">
      <c r="A26" s="8" t="s">
        <v>819</v>
      </c>
      <c r="B26" s="29" t="s">
        <v>1960</v>
      </c>
      <c r="C26" s="7" t="s">
        <v>820</v>
      </c>
      <c r="D26" s="31">
        <v>199.56</v>
      </c>
      <c r="E26" s="46"/>
    </row>
    <row r="27" spans="1:5" ht="12.75" outlineLevel="2">
      <c r="A27" s="8" t="s">
        <v>288</v>
      </c>
      <c r="B27" s="29" t="s">
        <v>1960</v>
      </c>
      <c r="C27" s="7" t="s">
        <v>289</v>
      </c>
      <c r="D27" s="31">
        <v>9503.19</v>
      </c>
      <c r="E27" s="46"/>
    </row>
    <row r="28" spans="1:5" ht="12.75" outlineLevel="2">
      <c r="A28" s="8" t="s">
        <v>203</v>
      </c>
      <c r="B28" s="29" t="s">
        <v>1960</v>
      </c>
      <c r="C28" s="7" t="s">
        <v>204</v>
      </c>
      <c r="D28" s="31">
        <v>17.14</v>
      </c>
      <c r="E28" s="46"/>
    </row>
    <row r="29" spans="1:5" ht="12.75" outlineLevel="2">
      <c r="A29" s="8" t="s">
        <v>332</v>
      </c>
      <c r="B29" s="29" t="s">
        <v>1960</v>
      </c>
      <c r="C29" s="7" t="s">
        <v>333</v>
      </c>
      <c r="D29" s="31">
        <v>17.14</v>
      </c>
      <c r="E29" s="46"/>
    </row>
    <row r="30" spans="1:5" ht="12.75" outlineLevel="2">
      <c r="A30" s="8" t="s">
        <v>871</v>
      </c>
      <c r="B30" s="29" t="s">
        <v>1959</v>
      </c>
      <c r="C30" s="7" t="s">
        <v>2727</v>
      </c>
      <c r="D30" s="30">
        <v>1334.41</v>
      </c>
      <c r="E30" s="46"/>
    </row>
    <row r="31" spans="1:5" ht="12.75" outlineLevel="2">
      <c r="A31" s="8" t="s">
        <v>945</v>
      </c>
      <c r="B31" s="29" t="s">
        <v>1960</v>
      </c>
      <c r="C31" s="7" t="s">
        <v>946</v>
      </c>
      <c r="D31" s="31">
        <v>2272.8</v>
      </c>
      <c r="E31" s="46"/>
    </row>
    <row r="32" spans="1:5" ht="12.75" outlineLevel="2">
      <c r="A32" s="55" t="s">
        <v>1471</v>
      </c>
      <c r="B32" s="52" t="s">
        <v>1961</v>
      </c>
      <c r="C32" s="51" t="s">
        <v>1472</v>
      </c>
      <c r="D32" s="31">
        <v>2058</v>
      </c>
      <c r="E32" s="46"/>
    </row>
    <row r="33" spans="1:5" ht="12.75" outlineLevel="2">
      <c r="A33" s="55" t="s">
        <v>1484</v>
      </c>
      <c r="B33" s="52" t="s">
        <v>1961</v>
      </c>
      <c r="C33" s="51" t="s">
        <v>1485</v>
      </c>
      <c r="D33" s="31">
        <v>5175</v>
      </c>
      <c r="E33" s="46"/>
    </row>
    <row r="34" spans="1:5" ht="12.75" outlineLevel="2">
      <c r="A34" s="8" t="s">
        <v>1521</v>
      </c>
      <c r="B34" s="52" t="s">
        <v>1961</v>
      </c>
      <c r="C34" s="55" t="s">
        <v>1516</v>
      </c>
      <c r="D34" s="31">
        <v>17.14</v>
      </c>
      <c r="E34" s="46"/>
    </row>
    <row r="35" spans="1:5" ht="12.75" outlineLevel="1">
      <c r="A35" s="117" t="s">
        <v>1340</v>
      </c>
      <c r="B35" s="118"/>
      <c r="C35" s="119"/>
      <c r="D35" s="28">
        <f>SUM(D36:D36)</f>
        <v>395.38</v>
      </c>
      <c r="E35" s="46"/>
    </row>
    <row r="36" spans="1:5" ht="12.75" outlineLevel="2">
      <c r="A36" s="9" t="s">
        <v>2729</v>
      </c>
      <c r="B36" s="29" t="s">
        <v>2017</v>
      </c>
      <c r="C36" s="7" t="s">
        <v>2730</v>
      </c>
      <c r="D36" s="30">
        <v>395.38</v>
      </c>
      <c r="E36" s="46"/>
    </row>
    <row r="37" spans="1:5" ht="12.75" outlineLevel="1">
      <c r="A37" s="117" t="s">
        <v>1342</v>
      </c>
      <c r="B37" s="118"/>
      <c r="C37" s="119"/>
      <c r="D37" s="28">
        <f>SUM(D38:D41)</f>
        <v>22088</v>
      </c>
      <c r="E37" s="46"/>
    </row>
    <row r="38" spans="1:5" ht="12.75" outlineLevel="2">
      <c r="A38" s="7" t="s">
        <v>2458</v>
      </c>
      <c r="B38" s="29" t="s">
        <v>1953</v>
      </c>
      <c r="C38" s="7" t="s">
        <v>2457</v>
      </c>
      <c r="D38" s="30">
        <v>4437</v>
      </c>
      <c r="E38" s="46"/>
    </row>
    <row r="39" spans="1:5" ht="12.75" outlineLevel="2">
      <c r="A39" s="7" t="s">
        <v>2686</v>
      </c>
      <c r="B39" s="29" t="s">
        <v>1954</v>
      </c>
      <c r="C39" s="7" t="s">
        <v>2687</v>
      </c>
      <c r="D39" s="30">
        <v>16657</v>
      </c>
      <c r="E39" s="46"/>
    </row>
    <row r="40" spans="1:5" ht="12.75" outlineLevel="2">
      <c r="A40" s="7" t="s">
        <v>1229</v>
      </c>
      <c r="B40" s="29" t="s">
        <v>1957</v>
      </c>
      <c r="C40" s="7" t="s">
        <v>1225</v>
      </c>
      <c r="D40" s="30">
        <v>289</v>
      </c>
      <c r="E40" s="46"/>
    </row>
    <row r="41" spans="1:5" ht="12.75" outlineLevel="2">
      <c r="A41" s="51" t="s">
        <v>1479</v>
      </c>
      <c r="B41" s="52" t="s">
        <v>1961</v>
      </c>
      <c r="C41" s="51" t="s">
        <v>1480</v>
      </c>
      <c r="D41" s="30">
        <v>705</v>
      </c>
      <c r="E41" s="46"/>
    </row>
    <row r="42" spans="1:5" ht="12.75" outlineLevel="1">
      <c r="A42" s="117" t="s">
        <v>1344</v>
      </c>
      <c r="B42" s="118"/>
      <c r="C42" s="119"/>
      <c r="D42" s="28">
        <f>SUM(D43:D54)</f>
        <v>135195.11</v>
      </c>
      <c r="E42" s="46"/>
    </row>
    <row r="43" spans="1:5" ht="12.75" outlineLevel="2">
      <c r="A43" s="7"/>
      <c r="B43" s="29" t="s">
        <v>849</v>
      </c>
      <c r="C43" s="7" t="s">
        <v>1950</v>
      </c>
      <c r="D43" s="30">
        <f>2580.3+2253.68+1339.14+3168.21+1371.8+849.21</f>
        <v>11562.34</v>
      </c>
      <c r="E43" s="46"/>
    </row>
    <row r="44" spans="1:5" ht="12.75" outlineLevel="2">
      <c r="A44" s="7"/>
      <c r="B44" s="29" t="s">
        <v>1951</v>
      </c>
      <c r="C44" s="7" t="s">
        <v>1950</v>
      </c>
      <c r="D44" s="30">
        <f>2580.3+2253.68+1339.14+3168.21+1371.8+849.21</f>
        <v>11562.34</v>
      </c>
      <c r="E44" s="46"/>
    </row>
    <row r="45" spans="1:5" ht="12.75" outlineLevel="2">
      <c r="A45" s="7"/>
      <c r="B45" s="29" t="s">
        <v>1952</v>
      </c>
      <c r="C45" s="7" t="s">
        <v>1950</v>
      </c>
      <c r="D45" s="30">
        <f>2580.3+1802.94+1339.14+3168.21+1371.8+849.21+195.97</f>
        <v>11307.569999999998</v>
      </c>
      <c r="E45" s="46"/>
    </row>
    <row r="46" spans="1:5" ht="12.75" outlineLevel="2">
      <c r="A46" s="7"/>
      <c r="B46" s="29" t="s">
        <v>1953</v>
      </c>
      <c r="C46" s="7" t="s">
        <v>1950</v>
      </c>
      <c r="D46" s="30">
        <f>2322.27+1494.29+4281.99+1241.16+849.21+195.97</f>
        <v>10384.889999999998</v>
      </c>
      <c r="E46" s="46"/>
    </row>
    <row r="47" spans="1:5" ht="12.75" outlineLevel="2">
      <c r="A47" s="7"/>
      <c r="B47" s="29" t="s">
        <v>1954</v>
      </c>
      <c r="C47" s="7" t="s">
        <v>1950</v>
      </c>
      <c r="D47" s="30">
        <f>2090.04+1731.09+4219.93+1148.07+782.25+195.97</f>
        <v>10167.35</v>
      </c>
      <c r="E47" s="46"/>
    </row>
    <row r="48" spans="1:5" ht="12.75" outlineLevel="2">
      <c r="A48" s="7"/>
      <c r="B48" s="29" t="s">
        <v>1955</v>
      </c>
      <c r="C48" s="7" t="s">
        <v>1950</v>
      </c>
      <c r="D48" s="30">
        <f>1032.12+865.54+2253.68+604.25+408.28+261.3</f>
        <v>5425.17</v>
      </c>
      <c r="E48" s="46"/>
    </row>
    <row r="49" spans="1:5" ht="12.75" outlineLevel="2">
      <c r="A49" s="7"/>
      <c r="B49" s="29" t="s">
        <v>1956</v>
      </c>
      <c r="C49" s="7" t="s">
        <v>1950</v>
      </c>
      <c r="D49" s="30">
        <f>2874.26+1927.06+5029.95+1339.14+914.54+2057.71</f>
        <v>14142.66</v>
      </c>
      <c r="E49" s="46"/>
    </row>
    <row r="50" spans="1:5" ht="12.75" outlineLevel="2">
      <c r="A50" s="7"/>
      <c r="B50" s="29" t="s">
        <v>1957</v>
      </c>
      <c r="C50" s="7" t="s">
        <v>1950</v>
      </c>
      <c r="D50" s="30">
        <f>2874.26+1927.06+5029.95+1339.14+914.54</f>
        <v>12084.95</v>
      </c>
      <c r="E50" s="46"/>
    </row>
    <row r="51" spans="1:5" ht="12.75" outlineLevel="2">
      <c r="A51" s="7"/>
      <c r="B51" s="29" t="s">
        <v>1958</v>
      </c>
      <c r="C51" s="7" t="s">
        <v>1950</v>
      </c>
      <c r="D51" s="30">
        <f>2874.26+1927.06+5029.95+1339.14+914.54</f>
        <v>12084.95</v>
      </c>
      <c r="E51" s="46"/>
    </row>
    <row r="52" spans="1:5" ht="12.75" outlineLevel="2">
      <c r="A52" s="7"/>
      <c r="B52" s="29" t="s">
        <v>1959</v>
      </c>
      <c r="C52" s="7" t="s">
        <v>1950</v>
      </c>
      <c r="D52" s="30">
        <f>2874.26+1927.06+5029.95+133.14+914.54</f>
        <v>10878.95</v>
      </c>
      <c r="E52" s="46"/>
    </row>
    <row r="53" spans="1:5" ht="12.75" outlineLevel="2">
      <c r="A53" s="7"/>
      <c r="B53" s="29" t="s">
        <v>1960</v>
      </c>
      <c r="C53" s="7" t="s">
        <v>1950</v>
      </c>
      <c r="D53" s="30">
        <f>2730.54+2514.97+1502.45+3527.5+1535.11+914.54</f>
        <v>12725.11</v>
      </c>
      <c r="E53" s="46"/>
    </row>
    <row r="54" spans="1:5" ht="12.75" outlineLevel="2">
      <c r="A54" s="11"/>
      <c r="B54" s="29" t="s">
        <v>1961</v>
      </c>
      <c r="C54" s="7" t="s">
        <v>1950</v>
      </c>
      <c r="D54" s="30">
        <f>2874.26+2514.97+1502.45+3527.5+1535.11+914.54</f>
        <v>12868.830000000002</v>
      </c>
      <c r="E54" s="46"/>
    </row>
    <row r="55" spans="1:5" ht="12.75" outlineLevel="1">
      <c r="A55" s="117" t="s">
        <v>1346</v>
      </c>
      <c r="B55" s="118"/>
      <c r="C55" s="119"/>
      <c r="D55" s="28">
        <f>SUM(D56:D60)</f>
        <v>9929.68</v>
      </c>
      <c r="E55" s="46"/>
    </row>
    <row r="56" spans="1:5" ht="12.75" outlineLevel="2">
      <c r="A56" s="7" t="s">
        <v>2365</v>
      </c>
      <c r="B56" s="29" t="s">
        <v>1952</v>
      </c>
      <c r="C56" s="7" t="s">
        <v>2361</v>
      </c>
      <c r="D56" s="30">
        <v>2691</v>
      </c>
      <c r="E56" s="46"/>
    </row>
    <row r="57" spans="1:5" ht="12.75" outlineLevel="2">
      <c r="A57" s="7" t="s">
        <v>2566</v>
      </c>
      <c r="B57" s="29" t="s">
        <v>1957</v>
      </c>
      <c r="C57" s="7" t="s">
        <v>2568</v>
      </c>
      <c r="D57" s="30">
        <v>2793</v>
      </c>
      <c r="E57" s="46"/>
    </row>
    <row r="58" spans="1:5" ht="12.75" outlineLevel="2">
      <c r="A58" s="7" t="s">
        <v>710</v>
      </c>
      <c r="B58" s="29" t="s">
        <v>1957</v>
      </c>
      <c r="C58" s="7" t="s">
        <v>709</v>
      </c>
      <c r="D58" s="30">
        <v>2212</v>
      </c>
      <c r="E58" s="46"/>
    </row>
    <row r="59" spans="1:5" ht="12.75" outlineLevel="2">
      <c r="A59" s="7" t="s">
        <v>1799</v>
      </c>
      <c r="B59" s="29" t="s">
        <v>1958</v>
      </c>
      <c r="C59" s="7" t="s">
        <v>1796</v>
      </c>
      <c r="D59" s="30">
        <v>233.68</v>
      </c>
      <c r="E59" s="46"/>
    </row>
    <row r="60" spans="1:5" ht="12.75" outlineLevel="2">
      <c r="A60" s="51" t="s">
        <v>1418</v>
      </c>
      <c r="B60" s="52" t="s">
        <v>1961</v>
      </c>
      <c r="C60" s="51" t="s">
        <v>1419</v>
      </c>
      <c r="D60" s="30">
        <v>2000</v>
      </c>
      <c r="E60" s="46"/>
    </row>
    <row r="61" spans="1:5" ht="12.75" outlineLevel="1">
      <c r="A61" s="117" t="s">
        <v>1341</v>
      </c>
      <c r="B61" s="118"/>
      <c r="C61" s="119"/>
      <c r="D61" s="28">
        <f>SUM(D62:D65)</f>
        <v>2624.93</v>
      </c>
      <c r="E61" s="46"/>
    </row>
    <row r="62" spans="1:5" ht="12.75" outlineLevel="2">
      <c r="A62" s="7" t="s">
        <v>507</v>
      </c>
      <c r="B62" s="29" t="s">
        <v>1952</v>
      </c>
      <c r="C62" s="7" t="s">
        <v>510</v>
      </c>
      <c r="D62" s="30">
        <v>147</v>
      </c>
      <c r="E62" s="46"/>
    </row>
    <row r="63" spans="1:5" ht="12.75" outlineLevel="2">
      <c r="A63" s="7" t="s">
        <v>2697</v>
      </c>
      <c r="B63" s="29" t="s">
        <v>1954</v>
      </c>
      <c r="C63" s="7" t="s">
        <v>2698</v>
      </c>
      <c r="D63" s="30">
        <v>2162</v>
      </c>
      <c r="E63" s="46"/>
    </row>
    <row r="64" spans="1:5" ht="12.75" outlineLevel="2">
      <c r="A64" s="7" t="s">
        <v>1048</v>
      </c>
      <c r="B64" s="29" t="s">
        <v>1955</v>
      </c>
      <c r="C64" s="7" t="s">
        <v>1050</v>
      </c>
      <c r="D64" s="30">
        <v>145</v>
      </c>
      <c r="E64" s="46"/>
    </row>
    <row r="65" spans="1:5" ht="12.75" outlineLevel="2">
      <c r="A65" s="7" t="s">
        <v>2495</v>
      </c>
      <c r="B65" s="29" t="s">
        <v>1959</v>
      </c>
      <c r="C65" s="7" t="s">
        <v>2499</v>
      </c>
      <c r="D65" s="30">
        <v>170.93</v>
      </c>
      <c r="E65" s="46"/>
    </row>
    <row r="66" spans="1:5" ht="12.75" outlineLevel="1">
      <c r="A66" s="117" t="s">
        <v>1347</v>
      </c>
      <c r="B66" s="118"/>
      <c r="C66" s="119"/>
      <c r="D66" s="28">
        <f>SUM(D67:D67)</f>
        <v>6028.9</v>
      </c>
      <c r="E66" s="46"/>
    </row>
    <row r="67" spans="1:5" ht="12.75" outlineLevel="2">
      <c r="A67" s="11"/>
      <c r="B67" s="29"/>
      <c r="C67" s="7" t="s">
        <v>239</v>
      </c>
      <c r="D67" s="30">
        <v>6028.9</v>
      </c>
      <c r="E67" s="46"/>
    </row>
    <row r="68" spans="1:5" ht="12.75" customHeight="1">
      <c r="A68" s="149" t="s">
        <v>1349</v>
      </c>
      <c r="B68" s="150"/>
      <c r="C68" s="69" t="s">
        <v>2250</v>
      </c>
      <c r="D68" s="32">
        <v>1273267</v>
      </c>
      <c r="E68" s="45"/>
    </row>
    <row r="69" spans="1:5" ht="12.75">
      <c r="A69" s="6">
        <v>3266.2</v>
      </c>
      <c r="B69" s="6" t="s">
        <v>1356</v>
      </c>
      <c r="C69" s="37" t="s">
        <v>1345</v>
      </c>
      <c r="D69" s="23">
        <f>(3266.2*6*1.46)+(3266.2*6*1.63)</f>
        <v>60555.34799999999</v>
      </c>
      <c r="E69" s="46"/>
    </row>
    <row r="70" spans="1:5" ht="13.5" thickBot="1">
      <c r="A70" s="6">
        <v>3266.2</v>
      </c>
      <c r="B70" s="6" t="s">
        <v>1356</v>
      </c>
      <c r="C70" s="37" t="s">
        <v>1357</v>
      </c>
      <c r="D70" s="23">
        <f>(3266.2*6*0.1)+(3266.2*6*0.11)</f>
        <v>4115.411999999999</v>
      </c>
      <c r="E70" s="46"/>
    </row>
    <row r="71" spans="1:5" ht="12.75" customHeight="1" thickTop="1">
      <c r="A71" s="132" t="s">
        <v>1361</v>
      </c>
      <c r="B71" s="133"/>
      <c r="C71" s="134"/>
      <c r="D71" s="67">
        <f>(3266.2*6*0.94)+(3266.2*6*1.03)</f>
        <v>38606.484</v>
      </c>
      <c r="E71" s="48"/>
    </row>
    <row r="72" spans="1:5" ht="12.75" customHeight="1">
      <c r="A72" s="125" t="s">
        <v>1350</v>
      </c>
      <c r="B72" s="126"/>
      <c r="C72" s="127"/>
      <c r="D72" s="67">
        <f>(3266.2*6*1.57)+(3266.2*6*1.75)</f>
        <v>65062.70399999998</v>
      </c>
      <c r="E72" s="48"/>
    </row>
    <row r="73" spans="1:5" ht="12.75" customHeight="1">
      <c r="A73" s="125" t="s">
        <v>1362</v>
      </c>
      <c r="B73" s="126"/>
      <c r="C73" s="127"/>
      <c r="D73" s="16">
        <f>10.3*(D75+D76)/100</f>
        <v>91438.81031999999</v>
      </c>
      <c r="E73" s="48"/>
    </row>
    <row r="74" spans="1:5" ht="12.75" customHeight="1">
      <c r="A74" s="120" t="s">
        <v>1363</v>
      </c>
      <c r="B74" s="121"/>
      <c r="C74" s="122"/>
      <c r="D74" s="41">
        <f>D73+D72+D71+D3</f>
        <v>507509.3083199999</v>
      </c>
      <c r="E74" s="48">
        <v>1</v>
      </c>
    </row>
    <row r="75" spans="1:5" ht="12.75" customHeight="1">
      <c r="A75" s="114" t="s">
        <v>1364</v>
      </c>
      <c r="B75" s="115"/>
      <c r="C75" s="116"/>
      <c r="D75" s="18">
        <v>779970.84</v>
      </c>
      <c r="E75" s="48">
        <v>2</v>
      </c>
    </row>
    <row r="76" spans="1:5" ht="12.75" customHeight="1">
      <c r="A76" s="114" t="s">
        <v>1365</v>
      </c>
      <c r="B76" s="115"/>
      <c r="C76" s="116"/>
      <c r="D76" s="18">
        <v>107784.6</v>
      </c>
      <c r="E76" s="48">
        <v>3</v>
      </c>
    </row>
    <row r="77" spans="1:5" ht="24.75" customHeight="1">
      <c r="A77" s="114" t="s">
        <v>598</v>
      </c>
      <c r="B77" s="115"/>
      <c r="C77" s="116"/>
      <c r="D77" s="18">
        <v>46728.11</v>
      </c>
      <c r="E77" s="48"/>
    </row>
    <row r="78" spans="1:5" ht="24.75" customHeight="1">
      <c r="A78" s="114" t="s">
        <v>601</v>
      </c>
      <c r="B78" s="115"/>
      <c r="C78" s="116"/>
      <c r="D78" s="18">
        <v>16174.35</v>
      </c>
      <c r="E78" s="48"/>
    </row>
    <row r="79" spans="1:5" ht="12.75" customHeight="1">
      <c r="A79" s="114" t="s">
        <v>2221</v>
      </c>
      <c r="B79" s="115"/>
      <c r="C79" s="116"/>
      <c r="D79" s="19">
        <f>844254.53+D75+D77+D78</f>
        <v>1687127.8300000003</v>
      </c>
      <c r="E79" s="48">
        <v>4</v>
      </c>
    </row>
    <row r="80" spans="1:5" ht="13.5" customHeight="1">
      <c r="A80" s="114" t="s">
        <v>2222</v>
      </c>
      <c r="B80" s="115"/>
      <c r="C80" s="116"/>
      <c r="D80" s="19">
        <f>545488.54+D87+D81+D82</f>
        <v>1203467.5500000003</v>
      </c>
      <c r="E80" s="48">
        <v>5</v>
      </c>
    </row>
    <row r="81" spans="1:5" ht="25.5" customHeight="1">
      <c r="A81" s="114" t="s">
        <v>599</v>
      </c>
      <c r="B81" s="115"/>
      <c r="C81" s="116"/>
      <c r="D81" s="19">
        <v>47650.12</v>
      </c>
      <c r="E81" s="48"/>
    </row>
    <row r="82" spans="1:5" ht="25.5" customHeight="1">
      <c r="A82" s="114" t="s">
        <v>600</v>
      </c>
      <c r="B82" s="115"/>
      <c r="C82" s="116"/>
      <c r="D82" s="19">
        <v>0</v>
      </c>
      <c r="E82" s="48"/>
    </row>
    <row r="83" spans="1:5" ht="25.5" customHeight="1">
      <c r="A83" s="120" t="s">
        <v>2223</v>
      </c>
      <c r="B83" s="121"/>
      <c r="C83" s="122"/>
      <c r="D83" s="42">
        <f>558449.38+D74</f>
        <v>1065958.68832</v>
      </c>
      <c r="E83" s="48">
        <v>6</v>
      </c>
    </row>
    <row r="84" spans="1:5" ht="12.75" customHeight="1">
      <c r="A84" s="114" t="s">
        <v>2224</v>
      </c>
      <c r="B84" s="115"/>
      <c r="C84" s="116"/>
      <c r="D84" s="19">
        <f>116574.7+D76</f>
        <v>224359.3</v>
      </c>
      <c r="E84" s="48">
        <v>7</v>
      </c>
    </row>
    <row r="85" spans="1:5" ht="12.75" customHeight="1">
      <c r="A85" s="114" t="s">
        <v>2225</v>
      </c>
      <c r="B85" s="115"/>
      <c r="C85" s="116"/>
      <c r="D85" s="19">
        <f>75290.52+D88</f>
        <v>159632.2</v>
      </c>
      <c r="E85" s="48">
        <v>8</v>
      </c>
    </row>
    <row r="86" spans="1:5" ht="12.75" customHeight="1">
      <c r="A86" s="120" t="s">
        <v>2226</v>
      </c>
      <c r="B86" s="121"/>
      <c r="C86" s="122"/>
      <c r="D86" s="42">
        <f>0+D89</f>
        <v>1273267</v>
      </c>
      <c r="E86" s="48">
        <v>9</v>
      </c>
    </row>
    <row r="87" spans="1:5" ht="12.75" customHeight="1">
      <c r="A87" s="114" t="s">
        <v>779</v>
      </c>
      <c r="B87" s="115"/>
      <c r="C87" s="116"/>
      <c r="D87" s="18">
        <v>610328.89</v>
      </c>
      <c r="E87" s="48">
        <v>10</v>
      </c>
    </row>
    <row r="88" spans="1:5" ht="12.75" customHeight="1">
      <c r="A88" s="114" t="s">
        <v>780</v>
      </c>
      <c r="B88" s="115"/>
      <c r="C88" s="116"/>
      <c r="D88" s="18">
        <v>84341.68</v>
      </c>
      <c r="E88" s="48">
        <v>11</v>
      </c>
    </row>
    <row r="89" spans="1:5" ht="12.75" customHeight="1">
      <c r="A89" s="120" t="s">
        <v>781</v>
      </c>
      <c r="B89" s="121"/>
      <c r="C89" s="122"/>
      <c r="D89" s="41">
        <f>D68</f>
        <v>1273267</v>
      </c>
      <c r="E89" s="48">
        <v>12</v>
      </c>
    </row>
    <row r="90" spans="1:5" ht="27" customHeight="1">
      <c r="A90" s="108" t="s">
        <v>782</v>
      </c>
      <c r="B90" s="109"/>
      <c r="C90" s="110"/>
      <c r="D90" s="26">
        <f>D79-D83</f>
        <v>621169.1416800003</v>
      </c>
      <c r="E90" s="48">
        <v>13</v>
      </c>
    </row>
    <row r="91" spans="1:5" ht="25.5" customHeight="1">
      <c r="A91" s="108" t="s">
        <v>717</v>
      </c>
      <c r="B91" s="109"/>
      <c r="C91" s="110"/>
      <c r="D91" s="26">
        <f>D84-D86</f>
        <v>-1048907.7</v>
      </c>
      <c r="E91" s="48">
        <v>14</v>
      </c>
    </row>
    <row r="92" spans="1:5" ht="25.5" customHeight="1">
      <c r="A92" s="108" t="s">
        <v>784</v>
      </c>
      <c r="B92" s="109"/>
      <c r="C92" s="110"/>
      <c r="D92" s="26">
        <f>D80-D83</f>
        <v>137508.86168000032</v>
      </c>
      <c r="E92" s="48">
        <v>15</v>
      </c>
    </row>
  </sheetData>
  <sheetProtection/>
  <mergeCells count="32">
    <mergeCell ref="A73:C73"/>
    <mergeCell ref="A74:C74"/>
    <mergeCell ref="A75:C75"/>
    <mergeCell ref="A76:C76"/>
    <mergeCell ref="A79:C79"/>
    <mergeCell ref="A80:C80"/>
    <mergeCell ref="A92:C92"/>
    <mergeCell ref="A85:C85"/>
    <mergeCell ref="A86:C86"/>
    <mergeCell ref="A87:C87"/>
    <mergeCell ref="A88:C88"/>
    <mergeCell ref="A81:C81"/>
    <mergeCell ref="A91:C91"/>
    <mergeCell ref="A82:C82"/>
    <mergeCell ref="A35:C35"/>
    <mergeCell ref="A37:C37"/>
    <mergeCell ref="A84:C84"/>
    <mergeCell ref="A71:C71"/>
    <mergeCell ref="A42:C42"/>
    <mergeCell ref="A55:C55"/>
    <mergeCell ref="A61:C61"/>
    <mergeCell ref="A66:C66"/>
    <mergeCell ref="A3:C3"/>
    <mergeCell ref="A4:C4"/>
    <mergeCell ref="A89:C89"/>
    <mergeCell ref="A90:C90"/>
    <mergeCell ref="A83:C83"/>
    <mergeCell ref="A1:D1"/>
    <mergeCell ref="A77:C77"/>
    <mergeCell ref="A78:C78"/>
    <mergeCell ref="A68:B68"/>
    <mergeCell ref="A72:C72"/>
  </mergeCells>
  <printOptions/>
  <pageMargins left="0.25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7" sqref="A1:D107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1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customHeight="1" thickBot="1">
      <c r="A1" s="106" t="s">
        <v>1571</v>
      </c>
      <c r="B1" s="107"/>
      <c r="C1" s="107"/>
      <c r="D1" s="107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5"/>
    </row>
    <row r="3" spans="1:5" ht="12.75" customHeight="1">
      <c r="A3" s="123" t="s">
        <v>1339</v>
      </c>
      <c r="B3" s="123"/>
      <c r="C3" s="123"/>
      <c r="D3" s="21">
        <f>D4</f>
        <v>42759</v>
      </c>
      <c r="E3" s="22"/>
    </row>
    <row r="4" spans="1:5" ht="12.75" outlineLevel="1">
      <c r="A4" s="117" t="s">
        <v>1354</v>
      </c>
      <c r="B4" s="118"/>
      <c r="C4" s="119"/>
      <c r="D4" s="28">
        <f>SUM(D5:D5)</f>
        <v>42759</v>
      </c>
      <c r="E4" s="24"/>
    </row>
    <row r="5" spans="1:5" ht="12.75" outlineLevel="2">
      <c r="A5" s="7" t="s">
        <v>1275</v>
      </c>
      <c r="B5" s="29" t="s">
        <v>1954</v>
      </c>
      <c r="C5" s="13" t="s">
        <v>1276</v>
      </c>
      <c r="D5" s="30">
        <v>42759</v>
      </c>
      <c r="E5" s="24"/>
    </row>
    <row r="6" spans="1:5" ht="13.5" customHeight="1" thickBot="1">
      <c r="A6" s="124" t="s">
        <v>1343</v>
      </c>
      <c r="B6" s="124"/>
      <c r="C6" s="124"/>
      <c r="D6" s="25">
        <f>D7+D54+D56+D59+D72+D82+D84+D88+D89</f>
        <v>396738.54000000004</v>
      </c>
      <c r="E6" s="22"/>
    </row>
    <row r="7" spans="1:5" ht="13.5" outlineLevel="1" thickTop="1">
      <c r="A7" s="111" t="s">
        <v>1354</v>
      </c>
      <c r="B7" s="112"/>
      <c r="C7" s="113"/>
      <c r="D7" s="28">
        <f>SUM(D8:D53)</f>
        <v>93817.54</v>
      </c>
      <c r="E7" s="24"/>
    </row>
    <row r="8" spans="1:5" ht="12.75" outlineLevel="2">
      <c r="A8" s="7" t="s">
        <v>1145</v>
      </c>
      <c r="B8" s="29" t="s">
        <v>849</v>
      </c>
      <c r="C8" s="7" t="s">
        <v>1146</v>
      </c>
      <c r="D8" s="30">
        <v>574</v>
      </c>
      <c r="E8" s="24"/>
    </row>
    <row r="9" spans="1:5" ht="12.75" outlineLevel="2">
      <c r="A9" s="7" t="s">
        <v>1171</v>
      </c>
      <c r="B9" s="29" t="s">
        <v>849</v>
      </c>
      <c r="C9" s="7" t="s">
        <v>1172</v>
      </c>
      <c r="D9" s="30">
        <v>1617</v>
      </c>
      <c r="E9" s="24"/>
    </row>
    <row r="10" spans="1:5" ht="12.75" outlineLevel="2">
      <c r="A10" s="7" t="s">
        <v>1755</v>
      </c>
      <c r="B10" s="29" t="s">
        <v>849</v>
      </c>
      <c r="C10" s="7" t="s">
        <v>1774</v>
      </c>
      <c r="D10" s="30">
        <v>448</v>
      </c>
      <c r="E10" s="24"/>
    </row>
    <row r="11" spans="1:5" ht="12.75" outlineLevel="2">
      <c r="A11" s="7" t="s">
        <v>1916</v>
      </c>
      <c r="B11" s="29" t="s">
        <v>849</v>
      </c>
      <c r="C11" s="7" t="s">
        <v>1917</v>
      </c>
      <c r="D11" s="30">
        <v>3558</v>
      </c>
      <c r="E11" s="24"/>
    </row>
    <row r="12" spans="1:5" ht="12.75" outlineLevel="2">
      <c r="A12" s="7" t="s">
        <v>1923</v>
      </c>
      <c r="B12" s="29" t="s">
        <v>849</v>
      </c>
      <c r="C12" s="7" t="s">
        <v>1927</v>
      </c>
      <c r="D12" s="30">
        <v>295</v>
      </c>
      <c r="E12" s="24"/>
    </row>
    <row r="13" spans="1:5" ht="12.75" outlineLevel="2">
      <c r="A13" s="7" t="s">
        <v>2188</v>
      </c>
      <c r="B13" s="29" t="s">
        <v>849</v>
      </c>
      <c r="C13" s="7" t="s">
        <v>2189</v>
      </c>
      <c r="D13" s="30">
        <v>189.4</v>
      </c>
      <c r="E13" s="24"/>
    </row>
    <row r="14" spans="1:5" ht="12.75" outlineLevel="2">
      <c r="A14" s="51" t="s">
        <v>2203</v>
      </c>
      <c r="B14" s="52" t="s">
        <v>849</v>
      </c>
      <c r="C14" s="51" t="s">
        <v>2204</v>
      </c>
      <c r="D14" s="30">
        <v>284.1</v>
      </c>
      <c r="E14" s="24"/>
    </row>
    <row r="15" spans="1:5" ht="12.75" outlineLevel="2">
      <c r="A15" s="7" t="s">
        <v>2281</v>
      </c>
      <c r="B15" s="29" t="s">
        <v>1952</v>
      </c>
      <c r="C15" s="7" t="s">
        <v>2204</v>
      </c>
      <c r="D15" s="30">
        <v>7.88</v>
      </c>
      <c r="E15" s="24"/>
    </row>
    <row r="16" spans="1:5" ht="12.75" outlineLevel="2">
      <c r="A16" s="7" t="s">
        <v>2379</v>
      </c>
      <c r="B16" s="29" t="s">
        <v>1952</v>
      </c>
      <c r="C16" s="7" t="s">
        <v>2380</v>
      </c>
      <c r="D16" s="30">
        <v>189.4</v>
      </c>
      <c r="E16" s="24"/>
    </row>
    <row r="17" spans="1:5" ht="12.75" outlineLevel="2">
      <c r="A17" s="7" t="s">
        <v>2282</v>
      </c>
      <c r="B17" s="29" t="s">
        <v>1952</v>
      </c>
      <c r="C17" s="7" t="s">
        <v>2204</v>
      </c>
      <c r="D17" s="30">
        <v>15.76</v>
      </c>
      <c r="E17" s="24"/>
    </row>
    <row r="18" spans="1:5" ht="12.75" outlineLevel="2">
      <c r="A18" s="7" t="s">
        <v>2312</v>
      </c>
      <c r="B18" s="29" t="s">
        <v>1953</v>
      </c>
      <c r="C18" s="7" t="s">
        <v>2314</v>
      </c>
      <c r="D18" s="30">
        <v>690</v>
      </c>
      <c r="E18" s="24"/>
    </row>
    <row r="19" spans="1:5" ht="12.75" outlineLevel="2">
      <c r="A19" s="7" t="s">
        <v>2323</v>
      </c>
      <c r="B19" s="29" t="s">
        <v>1953</v>
      </c>
      <c r="C19" s="7" t="s">
        <v>2325</v>
      </c>
      <c r="D19" s="30">
        <v>1540</v>
      </c>
      <c r="E19" s="24"/>
    </row>
    <row r="20" spans="1:5" ht="12.75" outlineLevel="2">
      <c r="A20" s="8" t="s">
        <v>1305</v>
      </c>
      <c r="B20" s="29" t="s">
        <v>1953</v>
      </c>
      <c r="C20" s="7" t="s">
        <v>1328</v>
      </c>
      <c r="D20" s="31">
        <v>378.8</v>
      </c>
      <c r="E20" s="24"/>
    </row>
    <row r="21" spans="1:5" ht="12.75" outlineLevel="2">
      <c r="A21" s="8" t="s">
        <v>2406</v>
      </c>
      <c r="B21" s="29" t="s">
        <v>1953</v>
      </c>
      <c r="C21" s="7" t="s">
        <v>2408</v>
      </c>
      <c r="D21" s="31">
        <v>7596</v>
      </c>
      <c r="E21" s="24"/>
    </row>
    <row r="22" spans="1:5" ht="12.75" outlineLevel="2">
      <c r="A22" s="8" t="s">
        <v>1314</v>
      </c>
      <c r="B22" s="29" t="s">
        <v>1953</v>
      </c>
      <c r="C22" s="7" t="s">
        <v>666</v>
      </c>
      <c r="D22" s="31">
        <v>23.64</v>
      </c>
      <c r="E22" s="24"/>
    </row>
    <row r="23" spans="1:5" ht="12.75" outlineLevel="2">
      <c r="A23" s="55" t="s">
        <v>2605</v>
      </c>
      <c r="B23" s="52" t="s">
        <v>1954</v>
      </c>
      <c r="C23" s="51" t="s">
        <v>2609</v>
      </c>
      <c r="D23" s="31">
        <v>298</v>
      </c>
      <c r="E23" s="24"/>
    </row>
    <row r="24" spans="1:5" ht="12.75" outlineLevel="2">
      <c r="A24" s="55" t="s">
        <v>2621</v>
      </c>
      <c r="B24" s="52" t="s">
        <v>1954</v>
      </c>
      <c r="C24" s="51" t="s">
        <v>2622</v>
      </c>
      <c r="D24" s="31">
        <v>5125</v>
      </c>
      <c r="E24" s="24"/>
    </row>
    <row r="25" spans="1:5" ht="12.75" outlineLevel="2">
      <c r="A25" s="55" t="s">
        <v>2633</v>
      </c>
      <c r="B25" s="52" t="s">
        <v>1954</v>
      </c>
      <c r="C25" s="51" t="s">
        <v>2634</v>
      </c>
      <c r="D25" s="31">
        <v>6256</v>
      </c>
      <c r="E25" s="24"/>
    </row>
    <row r="26" spans="1:5" ht="12.75" outlineLevel="2">
      <c r="A26" s="55" t="s">
        <v>1273</v>
      </c>
      <c r="B26" s="52" t="s">
        <v>1954</v>
      </c>
      <c r="C26" s="51" t="s">
        <v>1274</v>
      </c>
      <c r="D26" s="31">
        <v>443</v>
      </c>
      <c r="E26" s="24"/>
    </row>
    <row r="27" spans="1:5" ht="12.75" outlineLevel="2">
      <c r="A27" s="8" t="s">
        <v>565</v>
      </c>
      <c r="B27" s="29" t="s">
        <v>1954</v>
      </c>
      <c r="C27" s="7" t="s">
        <v>2763</v>
      </c>
      <c r="D27" s="31">
        <f>141.8+378.8</f>
        <v>520.6</v>
      </c>
      <c r="E27" s="24"/>
    </row>
    <row r="28" spans="1:5" ht="12.75" customHeight="1" outlineLevel="2">
      <c r="A28" s="8" t="s">
        <v>999</v>
      </c>
      <c r="B28" s="29" t="s">
        <v>1955</v>
      </c>
      <c r="C28" s="7" t="s">
        <v>1000</v>
      </c>
      <c r="D28" s="31">
        <v>4203</v>
      </c>
      <c r="E28" s="24"/>
    </row>
    <row r="29" spans="1:5" ht="12.75" outlineLevel="2">
      <c r="A29" s="8" t="s">
        <v>1003</v>
      </c>
      <c r="B29" s="29" t="s">
        <v>1955</v>
      </c>
      <c r="C29" s="7" t="s">
        <v>1005</v>
      </c>
      <c r="D29" s="31">
        <v>827</v>
      </c>
      <c r="E29" s="24"/>
    </row>
    <row r="30" spans="1:5" ht="12.75" outlineLevel="2">
      <c r="A30" s="8" t="s">
        <v>377</v>
      </c>
      <c r="B30" s="29" t="s">
        <v>1955</v>
      </c>
      <c r="C30" s="7" t="s">
        <v>378</v>
      </c>
      <c r="D30" s="31">
        <v>94.7</v>
      </c>
      <c r="E30" s="24"/>
    </row>
    <row r="31" spans="1:5" ht="12.75" outlineLevel="2">
      <c r="A31" s="8" t="s">
        <v>402</v>
      </c>
      <c r="B31" s="29" t="s">
        <v>1955</v>
      </c>
      <c r="C31" s="7" t="s">
        <v>424</v>
      </c>
      <c r="D31" s="31">
        <v>10584</v>
      </c>
      <c r="E31" s="24"/>
    </row>
    <row r="32" spans="1:5" ht="12.75" outlineLevel="2">
      <c r="A32" s="8" t="s">
        <v>1930</v>
      </c>
      <c r="B32" s="29" t="s">
        <v>1955</v>
      </c>
      <c r="C32" s="7" t="s">
        <v>424</v>
      </c>
      <c r="D32" s="31">
        <v>3433.9</v>
      </c>
      <c r="E32" s="24"/>
    </row>
    <row r="33" spans="1:5" ht="25.5" outlineLevel="2">
      <c r="A33" s="8" t="s">
        <v>2572</v>
      </c>
      <c r="B33" s="29" t="s">
        <v>1957</v>
      </c>
      <c r="C33" s="7" t="s">
        <v>2574</v>
      </c>
      <c r="D33" s="31">
        <v>23.63</v>
      </c>
      <c r="E33" s="24"/>
    </row>
    <row r="34" spans="1:5" ht="12.75" outlineLevel="2">
      <c r="A34" s="7" t="s">
        <v>2587</v>
      </c>
      <c r="B34" s="7" t="s">
        <v>1957</v>
      </c>
      <c r="C34" s="7" t="s">
        <v>2588</v>
      </c>
      <c r="D34" s="31">
        <v>15.76</v>
      </c>
      <c r="E34" s="24"/>
    </row>
    <row r="35" spans="1:5" ht="12.75" outlineLevel="2">
      <c r="A35" s="55" t="s">
        <v>1829</v>
      </c>
      <c r="B35" s="29" t="s">
        <v>1958</v>
      </c>
      <c r="C35" s="55" t="s">
        <v>1830</v>
      </c>
      <c r="D35" s="31">
        <v>128.72</v>
      </c>
      <c r="E35" s="24"/>
    </row>
    <row r="36" spans="1:5" ht="12.75" outlineLevel="2">
      <c r="A36" s="8" t="s">
        <v>866</v>
      </c>
      <c r="B36" s="29" t="s">
        <v>1958</v>
      </c>
      <c r="C36" s="7" t="s">
        <v>869</v>
      </c>
      <c r="D36" s="31">
        <v>1068</v>
      </c>
      <c r="E36" s="24"/>
    </row>
    <row r="37" spans="1:5" ht="12.75" outlineLevel="2">
      <c r="A37" s="8" t="s">
        <v>882</v>
      </c>
      <c r="B37" s="29" t="s">
        <v>1959</v>
      </c>
      <c r="C37" s="7" t="s">
        <v>883</v>
      </c>
      <c r="D37" s="31">
        <v>4761</v>
      </c>
      <c r="E37" s="24"/>
    </row>
    <row r="38" spans="1:5" ht="12.75" outlineLevel="2">
      <c r="A38" s="8" t="s">
        <v>2510</v>
      </c>
      <c r="B38" s="29" t="s">
        <v>1959</v>
      </c>
      <c r="C38" s="7" t="s">
        <v>2511</v>
      </c>
      <c r="D38" s="31">
        <v>10885</v>
      </c>
      <c r="E38" s="24"/>
    </row>
    <row r="39" spans="1:5" ht="25.5" outlineLevel="2">
      <c r="A39" s="8" t="s">
        <v>2738</v>
      </c>
      <c r="B39" s="29" t="s">
        <v>1960</v>
      </c>
      <c r="C39" s="7" t="s">
        <v>2739</v>
      </c>
      <c r="D39" s="31">
        <v>10790.43</v>
      </c>
      <c r="E39" s="24"/>
    </row>
    <row r="40" spans="1:5" ht="25.5" outlineLevel="2">
      <c r="A40" s="8" t="s">
        <v>834</v>
      </c>
      <c r="B40" s="29" t="s">
        <v>1960</v>
      </c>
      <c r="C40" s="7" t="s">
        <v>835</v>
      </c>
      <c r="D40" s="31">
        <v>4563.98</v>
      </c>
      <c r="E40" s="24"/>
    </row>
    <row r="41" spans="1:5" ht="12.75" outlineLevel="2">
      <c r="A41" s="8" t="s">
        <v>274</v>
      </c>
      <c r="B41" s="29" t="s">
        <v>1960</v>
      </c>
      <c r="C41" s="7" t="s">
        <v>275</v>
      </c>
      <c r="D41" s="31">
        <v>498.9</v>
      </c>
      <c r="E41" s="24"/>
    </row>
    <row r="42" spans="1:5" ht="12.75" outlineLevel="2">
      <c r="A42" s="8" t="s">
        <v>205</v>
      </c>
      <c r="B42" s="29" t="s">
        <v>1960</v>
      </c>
      <c r="C42" s="7" t="s">
        <v>206</v>
      </c>
      <c r="D42" s="31">
        <v>7.88</v>
      </c>
      <c r="E42" s="24"/>
    </row>
    <row r="43" spans="1:5" ht="12.75" outlineLevel="2">
      <c r="A43" s="8" t="s">
        <v>207</v>
      </c>
      <c r="B43" s="29" t="s">
        <v>1960</v>
      </c>
      <c r="C43" s="7" t="s">
        <v>208</v>
      </c>
      <c r="D43" s="31">
        <v>7.88</v>
      </c>
      <c r="E43" s="24"/>
    </row>
    <row r="44" spans="1:5" ht="12.75" outlineLevel="2">
      <c r="A44" s="8" t="s">
        <v>211</v>
      </c>
      <c r="B44" s="29" t="s">
        <v>1960</v>
      </c>
      <c r="C44" s="7" t="s">
        <v>212</v>
      </c>
      <c r="D44" s="31">
        <v>15.76</v>
      </c>
      <c r="E44" s="24"/>
    </row>
    <row r="45" spans="1:5" ht="12.75" outlineLevel="2">
      <c r="A45" s="8" t="s">
        <v>971</v>
      </c>
      <c r="B45" s="29" t="s">
        <v>1960</v>
      </c>
      <c r="C45" s="7" t="s">
        <v>327</v>
      </c>
      <c r="D45" s="31">
        <v>7.88</v>
      </c>
      <c r="E45" s="24"/>
    </row>
    <row r="46" spans="1:5" ht="12.75" outlineLevel="2">
      <c r="A46" s="8" t="s">
        <v>341</v>
      </c>
      <c r="B46" s="29" t="s">
        <v>1960</v>
      </c>
      <c r="C46" s="7" t="s">
        <v>342</v>
      </c>
      <c r="D46" s="31">
        <v>31.51</v>
      </c>
      <c r="E46" s="24"/>
    </row>
    <row r="47" spans="1:5" ht="12.75" outlineLevel="2">
      <c r="A47" s="8" t="s">
        <v>871</v>
      </c>
      <c r="B47" s="29" t="s">
        <v>1959</v>
      </c>
      <c r="C47" s="7" t="s">
        <v>2727</v>
      </c>
      <c r="D47" s="31">
        <v>2668.59</v>
      </c>
      <c r="E47" s="24"/>
    </row>
    <row r="48" spans="1:5" ht="12.75" outlineLevel="2">
      <c r="A48" s="8" t="s">
        <v>1424</v>
      </c>
      <c r="B48" s="29" t="s">
        <v>1961</v>
      </c>
      <c r="C48" s="7" t="s">
        <v>1425</v>
      </c>
      <c r="D48" s="31">
        <v>657</v>
      </c>
      <c r="E48" s="24"/>
    </row>
    <row r="49" spans="1:5" ht="12.75" outlineLevel="2">
      <c r="A49" s="8" t="s">
        <v>1428</v>
      </c>
      <c r="B49" s="29" t="s">
        <v>1961</v>
      </c>
      <c r="C49" s="7" t="s">
        <v>1429</v>
      </c>
      <c r="D49" s="31">
        <v>5977</v>
      </c>
      <c r="E49" s="24"/>
    </row>
    <row r="50" spans="1:5" ht="12.75" outlineLevel="2">
      <c r="A50" s="55" t="s">
        <v>1499</v>
      </c>
      <c r="B50" s="29" t="s">
        <v>1961</v>
      </c>
      <c r="C50" s="7" t="s">
        <v>1500</v>
      </c>
      <c r="D50" s="31">
        <v>2141.1</v>
      </c>
      <c r="E50" s="24"/>
    </row>
    <row r="51" spans="1:5" ht="12.75" outlineLevel="2">
      <c r="A51" s="8" t="s">
        <v>1524</v>
      </c>
      <c r="B51" s="52" t="s">
        <v>1961</v>
      </c>
      <c r="C51" s="55" t="s">
        <v>1516</v>
      </c>
      <c r="D51" s="31">
        <v>7.88</v>
      </c>
      <c r="E51" s="24"/>
    </row>
    <row r="52" spans="1:5" ht="12.75" outlineLevel="2">
      <c r="A52" s="8" t="s">
        <v>1556</v>
      </c>
      <c r="B52" s="52" t="s">
        <v>1961</v>
      </c>
      <c r="C52" s="7" t="s">
        <v>2231</v>
      </c>
      <c r="D52" s="31">
        <v>183.73</v>
      </c>
      <c r="E52" s="24"/>
    </row>
    <row r="53" spans="1:5" ht="12.75" outlineLevel="2">
      <c r="A53" s="8" t="s">
        <v>1557</v>
      </c>
      <c r="B53" s="52" t="s">
        <v>1961</v>
      </c>
      <c r="C53" s="7" t="s">
        <v>2232</v>
      </c>
      <c r="D53" s="31">
        <v>183.73</v>
      </c>
      <c r="E53" s="24"/>
    </row>
    <row r="54" spans="1:5" ht="12.75" outlineLevel="1">
      <c r="A54" s="117" t="s">
        <v>1340</v>
      </c>
      <c r="B54" s="118"/>
      <c r="C54" s="119"/>
      <c r="D54" s="28">
        <f>SUM(D55:D55)</f>
        <v>197.92</v>
      </c>
      <c r="E54" s="24"/>
    </row>
    <row r="55" spans="1:5" ht="12.75" outlineLevel="2">
      <c r="A55" s="75" t="s">
        <v>1463</v>
      </c>
      <c r="B55" s="52" t="s">
        <v>1961</v>
      </c>
      <c r="C55" s="51" t="s">
        <v>1464</v>
      </c>
      <c r="D55" s="30">
        <v>197.92</v>
      </c>
      <c r="E55" s="24"/>
    </row>
    <row r="56" spans="1:5" ht="12.75" outlineLevel="1">
      <c r="A56" s="117" t="s">
        <v>1342</v>
      </c>
      <c r="B56" s="118"/>
      <c r="C56" s="119"/>
      <c r="D56" s="28">
        <f>SUM(D57:D58)</f>
        <v>27316</v>
      </c>
      <c r="E56" s="24"/>
    </row>
    <row r="57" spans="1:5" ht="12.75" outlineLevel="2">
      <c r="A57" s="7" t="s">
        <v>1179</v>
      </c>
      <c r="B57" s="29" t="s">
        <v>849</v>
      </c>
      <c r="C57" s="7" t="s">
        <v>1180</v>
      </c>
      <c r="D57" s="30">
        <v>21300</v>
      </c>
      <c r="E57" s="24"/>
    </row>
    <row r="58" spans="1:5" ht="12.75" outlineLevel="2">
      <c r="A58" s="51" t="s">
        <v>2214</v>
      </c>
      <c r="B58" s="52" t="s">
        <v>1952</v>
      </c>
      <c r="C58" s="51" t="s">
        <v>2215</v>
      </c>
      <c r="D58" s="30">
        <v>6016</v>
      </c>
      <c r="E58" s="24"/>
    </row>
    <row r="59" spans="1:5" ht="12.75" outlineLevel="1">
      <c r="A59" s="117" t="s">
        <v>1344</v>
      </c>
      <c r="B59" s="118"/>
      <c r="C59" s="119"/>
      <c r="D59" s="28">
        <f>SUM(D60:D71)</f>
        <v>175390.47000000003</v>
      </c>
      <c r="E59" s="24"/>
    </row>
    <row r="60" spans="1:5" ht="12.75" outlineLevel="2">
      <c r="A60" s="7"/>
      <c r="B60" s="29" t="s">
        <v>849</v>
      </c>
      <c r="C60" s="7" t="s">
        <v>1962</v>
      </c>
      <c r="D60" s="30">
        <f>3126.98+2731.16+1622.86+3839.45+1662.44+1029.13</f>
        <v>14012.02</v>
      </c>
      <c r="E60" s="24"/>
    </row>
    <row r="61" spans="1:5" ht="12.75" outlineLevel="2">
      <c r="A61" s="7"/>
      <c r="B61" s="29" t="s">
        <v>1951</v>
      </c>
      <c r="C61" s="7" t="s">
        <v>1962</v>
      </c>
      <c r="D61" s="30">
        <f>3126.98+2731.16+1622.86+3839.45+1662.44+1029.13</f>
        <v>14012.02</v>
      </c>
      <c r="E61" s="24"/>
    </row>
    <row r="62" spans="1:5" ht="12.75" outlineLevel="2">
      <c r="A62" s="7"/>
      <c r="B62" s="29" t="s">
        <v>1952</v>
      </c>
      <c r="C62" s="7" t="s">
        <v>1962</v>
      </c>
      <c r="D62" s="30">
        <f>2970.63+2187.93+11622.86+3839.45+1662.44+1029.13+237.49</f>
        <v>23549.93</v>
      </c>
      <c r="E62" s="24"/>
    </row>
    <row r="63" spans="1:5" ht="12.75" outlineLevel="2">
      <c r="A63" s="7"/>
      <c r="B63" s="29" t="s">
        <v>1953</v>
      </c>
      <c r="C63" s="7" t="s">
        <v>1962</v>
      </c>
      <c r="D63" s="30">
        <f>2814.28+2414.5+5462.32+1583.28+1029.13+237.49</f>
        <v>13541.000000000002</v>
      </c>
      <c r="E63" s="24"/>
    </row>
    <row r="64" spans="1:5" ht="12.75" outlineLevel="2">
      <c r="A64" s="7"/>
      <c r="B64" s="29" t="s">
        <v>1954</v>
      </c>
      <c r="C64" s="7" t="s">
        <v>1962</v>
      </c>
      <c r="D64" s="30">
        <f>3126.98+2097.85+5383.15+1464.53+989.55+237.49</f>
        <v>13299.55</v>
      </c>
      <c r="E64" s="24"/>
    </row>
    <row r="65" spans="1:5" ht="12.75" outlineLevel="2">
      <c r="A65" s="7"/>
      <c r="B65" s="29" t="s">
        <v>1955</v>
      </c>
      <c r="C65" s="7" t="s">
        <v>1962</v>
      </c>
      <c r="D65" s="30">
        <f>1563.49+1048.92+2731.16+732.27+494.78+633.31</f>
        <v>7203.93</v>
      </c>
      <c r="E65" s="24"/>
    </row>
    <row r="66" spans="1:5" ht="12.75" outlineLevel="2">
      <c r="A66" s="7"/>
      <c r="B66" s="29" t="s">
        <v>1956</v>
      </c>
      <c r="C66" s="7" t="s">
        <v>1962</v>
      </c>
      <c r="D66" s="30">
        <f>3483.22+2335.34+6095.63+1622.86+1108.3</f>
        <v>14645.349999999999</v>
      </c>
      <c r="E66" s="24"/>
    </row>
    <row r="67" spans="1:5" ht="12.75" outlineLevel="2">
      <c r="A67" s="7"/>
      <c r="B67" s="29" t="s">
        <v>1957</v>
      </c>
      <c r="C67" s="7" t="s">
        <v>1962</v>
      </c>
      <c r="D67" s="30">
        <f>3483.22+2335.34+6095.63+1622.86+1108.3</f>
        <v>14645.349999999999</v>
      </c>
      <c r="E67" s="24"/>
    </row>
    <row r="68" spans="1:5" ht="12.75" outlineLevel="2">
      <c r="A68" s="7"/>
      <c r="B68" s="29" t="s">
        <v>1958</v>
      </c>
      <c r="C68" s="7" t="s">
        <v>1962</v>
      </c>
      <c r="D68" s="30">
        <f>3483.22+2335.34+6095.63+1622.86+1108.3</f>
        <v>14645.349999999999</v>
      </c>
      <c r="E68" s="24"/>
    </row>
    <row r="69" spans="1:5" ht="12.75" outlineLevel="2">
      <c r="A69" s="7"/>
      <c r="B69" s="29" t="s">
        <v>1959</v>
      </c>
      <c r="C69" s="7" t="s">
        <v>1962</v>
      </c>
      <c r="D69" s="30">
        <f>3483.22+2335.34+6095.63+1622.86+1108.3</f>
        <v>14645.349999999999</v>
      </c>
      <c r="E69" s="24"/>
    </row>
    <row r="70" spans="1:5" ht="12.75" outlineLevel="2">
      <c r="A70" s="7"/>
      <c r="B70" s="29" t="s">
        <v>1960</v>
      </c>
      <c r="C70" s="7" t="s">
        <v>1962</v>
      </c>
      <c r="D70" s="30">
        <f>3483.22+3047.81+1820.77+4274.86+1860.35+1108.3</f>
        <v>15595.31</v>
      </c>
      <c r="E70" s="24"/>
    </row>
    <row r="71" spans="1:5" ht="12.75" outlineLevel="2">
      <c r="A71" s="11"/>
      <c r="B71" s="29" t="s">
        <v>1961</v>
      </c>
      <c r="C71" s="7" t="s">
        <v>1962</v>
      </c>
      <c r="D71" s="30">
        <f>3483.22+3047.81+1820.77+4274.86+1860.35+1108.3</f>
        <v>15595.31</v>
      </c>
      <c r="E71" s="24"/>
    </row>
    <row r="72" spans="1:5" ht="12.75" outlineLevel="1">
      <c r="A72" s="117" t="s">
        <v>1346</v>
      </c>
      <c r="B72" s="118"/>
      <c r="C72" s="119"/>
      <c r="D72" s="28">
        <f>SUM(D73:D81)</f>
        <v>14372.95</v>
      </c>
      <c r="E72" s="24"/>
    </row>
    <row r="73" spans="1:5" ht="12.75" outlineLevel="2">
      <c r="A73" s="7" t="s">
        <v>1711</v>
      </c>
      <c r="B73" s="29" t="s">
        <v>1713</v>
      </c>
      <c r="C73" s="7" t="s">
        <v>1712</v>
      </c>
      <c r="D73" s="30">
        <v>1926</v>
      </c>
      <c r="E73" s="24"/>
    </row>
    <row r="74" spans="1:5" ht="12.75" outlineLevel="2">
      <c r="A74" s="7" t="s">
        <v>1973</v>
      </c>
      <c r="B74" s="29" t="s">
        <v>849</v>
      </c>
      <c r="C74" s="7" t="s">
        <v>1975</v>
      </c>
      <c r="D74" s="30">
        <v>1560</v>
      </c>
      <c r="E74" s="24"/>
    </row>
    <row r="75" spans="1:5" ht="25.5" outlineLevel="2">
      <c r="A75" s="7" t="s">
        <v>2396</v>
      </c>
      <c r="B75" s="29" t="s">
        <v>1952</v>
      </c>
      <c r="C75" s="7" t="s">
        <v>2393</v>
      </c>
      <c r="D75" s="30">
        <v>400</v>
      </c>
      <c r="E75" s="24"/>
    </row>
    <row r="76" spans="1:5" ht="25.5" outlineLevel="2">
      <c r="A76" s="7" t="s">
        <v>2396</v>
      </c>
      <c r="B76" s="29" t="s">
        <v>1952</v>
      </c>
      <c r="C76" s="7" t="s">
        <v>2394</v>
      </c>
      <c r="D76" s="30">
        <v>39</v>
      </c>
      <c r="E76" s="24"/>
    </row>
    <row r="77" spans="1:5" ht="25.5" outlineLevel="2">
      <c r="A77" s="7" t="s">
        <v>2396</v>
      </c>
      <c r="B77" s="29" t="s">
        <v>1952</v>
      </c>
      <c r="C77" s="7" t="s">
        <v>2390</v>
      </c>
      <c r="D77" s="30">
        <v>311.11</v>
      </c>
      <c r="E77" s="24"/>
    </row>
    <row r="78" spans="1:5" ht="12.75" outlineLevel="2">
      <c r="A78" s="7" t="s">
        <v>710</v>
      </c>
      <c r="B78" s="29" t="s">
        <v>1957</v>
      </c>
      <c r="C78" s="7" t="s">
        <v>709</v>
      </c>
      <c r="D78" s="30">
        <v>5678</v>
      </c>
      <c r="E78" s="24"/>
    </row>
    <row r="79" spans="1:5" ht="12.75" outlineLevel="2">
      <c r="A79" s="7" t="s">
        <v>1803</v>
      </c>
      <c r="B79" s="29" t="s">
        <v>1958</v>
      </c>
      <c r="C79" s="7" t="s">
        <v>1804</v>
      </c>
      <c r="D79" s="30">
        <v>350.52</v>
      </c>
      <c r="E79" s="24"/>
    </row>
    <row r="80" spans="1:5" ht="12.75" outlineLevel="2">
      <c r="A80" s="7" t="s">
        <v>1416</v>
      </c>
      <c r="B80" s="29" t="s">
        <v>1961</v>
      </c>
      <c r="C80" s="7" t="s">
        <v>1417</v>
      </c>
      <c r="D80" s="30">
        <v>2108.32</v>
      </c>
      <c r="E80" s="24"/>
    </row>
    <row r="81" spans="1:5" ht="12.75" outlineLevel="2">
      <c r="A81" s="51" t="s">
        <v>1418</v>
      </c>
      <c r="B81" s="52" t="s">
        <v>1961</v>
      </c>
      <c r="C81" s="51" t="s">
        <v>1419</v>
      </c>
      <c r="D81" s="30">
        <v>2000</v>
      </c>
      <c r="E81" s="24"/>
    </row>
    <row r="82" spans="1:5" ht="12.75" outlineLevel="1">
      <c r="A82" s="117" t="s">
        <v>1341</v>
      </c>
      <c r="B82" s="118"/>
      <c r="C82" s="119"/>
      <c r="D82" s="28">
        <f>SUM(D83:D83)</f>
        <v>192.95</v>
      </c>
      <c r="E82" s="24"/>
    </row>
    <row r="83" spans="1:5" ht="12.75" outlineLevel="2">
      <c r="A83" s="7" t="s">
        <v>2437</v>
      </c>
      <c r="B83" s="29" t="s">
        <v>1959</v>
      </c>
      <c r="C83" s="7" t="s">
        <v>2433</v>
      </c>
      <c r="D83" s="30">
        <v>192.95</v>
      </c>
      <c r="E83" s="24"/>
    </row>
    <row r="84" spans="1:5" ht="12.75" outlineLevel="1">
      <c r="A84" s="117" t="s">
        <v>1347</v>
      </c>
      <c r="B84" s="118"/>
      <c r="C84" s="119"/>
      <c r="D84" s="28">
        <f>SUM(D85:D85)</f>
        <v>7078.35</v>
      </c>
      <c r="E84" s="24"/>
    </row>
    <row r="85" spans="1:5" ht="12.75" outlineLevel="2">
      <c r="A85" s="11"/>
      <c r="B85" s="29"/>
      <c r="C85" s="7" t="s">
        <v>239</v>
      </c>
      <c r="D85" s="30">
        <v>7078.35</v>
      </c>
      <c r="E85" s="24"/>
    </row>
    <row r="86" spans="1:5" ht="12.75" customHeight="1">
      <c r="A86" s="129" t="s">
        <v>1349</v>
      </c>
      <c r="B86" s="130"/>
      <c r="C86" s="131"/>
      <c r="D86" s="32">
        <f>SUM(D87:D87)</f>
        <v>311726</v>
      </c>
      <c r="E86" s="22"/>
    </row>
    <row r="87" spans="1:5" ht="12.75" outlineLevel="1">
      <c r="A87" s="13" t="s">
        <v>47</v>
      </c>
      <c r="B87" s="29" t="s">
        <v>1960</v>
      </c>
      <c r="C87" s="13" t="s">
        <v>46</v>
      </c>
      <c r="D87" s="36">
        <v>311726</v>
      </c>
      <c r="E87" s="24"/>
    </row>
    <row r="88" spans="1:6" ht="12.75">
      <c r="A88" s="6">
        <v>3958.2</v>
      </c>
      <c r="B88" s="6" t="s">
        <v>1356</v>
      </c>
      <c r="C88" s="37" t="s">
        <v>1345</v>
      </c>
      <c r="D88" s="23">
        <f>(3958.2*6*1.46)+(3958.2*6*1.63)</f>
        <v>73385.02799999999</v>
      </c>
      <c r="E88" s="24"/>
      <c r="F88" s="37" t="s">
        <v>1352</v>
      </c>
    </row>
    <row r="89" spans="1:6" ht="13.5" thickBot="1">
      <c r="A89" s="6">
        <v>3958.2</v>
      </c>
      <c r="B89" s="6" t="s">
        <v>1356</v>
      </c>
      <c r="C89" s="37" t="s">
        <v>1357</v>
      </c>
      <c r="D89" s="23">
        <f>(3958.2*6*0.1)+(3958.2*6*0.11)</f>
        <v>4987.331999999999</v>
      </c>
      <c r="E89" s="24"/>
      <c r="F89" s="37" t="s">
        <v>1351</v>
      </c>
    </row>
    <row r="90" spans="1:6" ht="12.75" customHeight="1" thickTop="1">
      <c r="A90" s="132" t="s">
        <v>1361</v>
      </c>
      <c r="B90" s="133"/>
      <c r="C90" s="134"/>
      <c r="D90" s="76">
        <f>(3958.2*6*0.94)+(3958.2*6*1.03)</f>
        <v>46785.92399999999</v>
      </c>
      <c r="E90" s="10"/>
      <c r="F90" s="14" t="s">
        <v>787</v>
      </c>
    </row>
    <row r="91" spans="1:6" ht="12.75" customHeight="1">
      <c r="A91" s="125" t="s">
        <v>1350</v>
      </c>
      <c r="B91" s="126"/>
      <c r="C91" s="127"/>
      <c r="D91" s="76">
        <f>(3958.2*6*1.57)+(3958.2*6*1.75)</f>
        <v>78847.34399999998</v>
      </c>
      <c r="E91" s="10"/>
      <c r="F91" s="14" t="s">
        <v>788</v>
      </c>
    </row>
    <row r="92" spans="1:6" ht="12.75" customHeight="1">
      <c r="A92" s="125" t="s">
        <v>1362</v>
      </c>
      <c r="B92" s="126"/>
      <c r="C92" s="127"/>
      <c r="D92" s="16">
        <f>10.3*(D94+D95)/100</f>
        <v>110505.82218000002</v>
      </c>
      <c r="E92" s="10"/>
      <c r="F92" s="14" t="s">
        <v>789</v>
      </c>
    </row>
    <row r="93" spans="1:6" ht="12.75" customHeight="1">
      <c r="A93" s="120" t="s">
        <v>1363</v>
      </c>
      <c r="B93" s="121"/>
      <c r="C93" s="122"/>
      <c r="D93" s="41">
        <f>D92+D91+D90+D6+D3</f>
        <v>675636.6301800001</v>
      </c>
      <c r="E93" s="48">
        <v>1</v>
      </c>
      <c r="F93" s="14" t="s">
        <v>790</v>
      </c>
    </row>
    <row r="94" spans="1:6" ht="12.75" customHeight="1">
      <c r="A94" s="114" t="s">
        <v>1364</v>
      </c>
      <c r="B94" s="115"/>
      <c r="C94" s="116"/>
      <c r="D94" s="18">
        <v>942612.48</v>
      </c>
      <c r="E94" s="48">
        <v>2</v>
      </c>
      <c r="F94" s="27"/>
    </row>
    <row r="95" spans="1:6" ht="12.75" customHeight="1">
      <c r="A95" s="114" t="s">
        <v>1365</v>
      </c>
      <c r="B95" s="115"/>
      <c r="C95" s="116"/>
      <c r="D95" s="18">
        <v>130259.58</v>
      </c>
      <c r="E95" s="48">
        <v>3</v>
      </c>
      <c r="F95" s="37" t="s">
        <v>1352</v>
      </c>
    </row>
    <row r="96" spans="1:6" ht="12.75" customHeight="1">
      <c r="A96" s="114" t="s">
        <v>2221</v>
      </c>
      <c r="B96" s="115"/>
      <c r="C96" s="116"/>
      <c r="D96" s="19">
        <f>1064305.93+D94</f>
        <v>2006918.41</v>
      </c>
      <c r="E96" s="48">
        <v>4</v>
      </c>
      <c r="F96" s="37" t="s">
        <v>791</v>
      </c>
    </row>
    <row r="97" spans="1:6" ht="13.5" customHeight="1">
      <c r="A97" s="114" t="s">
        <v>2222</v>
      </c>
      <c r="B97" s="115"/>
      <c r="C97" s="116"/>
      <c r="D97" s="19">
        <f>793109.11+D102</f>
        <v>1578761.76</v>
      </c>
      <c r="E97" s="48">
        <v>5</v>
      </c>
      <c r="F97" s="14" t="s">
        <v>843</v>
      </c>
    </row>
    <row r="98" spans="1:6" ht="25.5" customHeight="1">
      <c r="A98" s="120" t="s">
        <v>2223</v>
      </c>
      <c r="B98" s="121"/>
      <c r="C98" s="122"/>
      <c r="D98" s="42">
        <f>655558.7+D93</f>
        <v>1331195.33018</v>
      </c>
      <c r="E98" s="48">
        <v>6</v>
      </c>
      <c r="F98" s="14" t="s">
        <v>844</v>
      </c>
    </row>
    <row r="99" spans="1:6" ht="12.75" customHeight="1">
      <c r="A99" s="114" t="s">
        <v>2224</v>
      </c>
      <c r="B99" s="115"/>
      <c r="C99" s="116"/>
      <c r="D99" s="19">
        <f>146998.8+D95</f>
        <v>277258.38</v>
      </c>
      <c r="E99" s="48">
        <v>7</v>
      </c>
      <c r="F99" s="14" t="s">
        <v>845</v>
      </c>
    </row>
    <row r="100" spans="1:6" ht="12.75" customHeight="1">
      <c r="A100" s="114" t="s">
        <v>2225</v>
      </c>
      <c r="B100" s="115"/>
      <c r="C100" s="116"/>
      <c r="D100" s="19">
        <f>109477.8+D103</f>
        <v>218047.1</v>
      </c>
      <c r="E100" s="48">
        <v>8</v>
      </c>
      <c r="F100" s="14" t="s">
        <v>787</v>
      </c>
    </row>
    <row r="101" spans="1:6" ht="12.75" customHeight="1">
      <c r="A101" s="120" t="s">
        <v>2226</v>
      </c>
      <c r="B101" s="121"/>
      <c r="C101" s="122"/>
      <c r="D101" s="42">
        <f>0+D104</f>
        <v>311726</v>
      </c>
      <c r="E101" s="48">
        <v>9</v>
      </c>
      <c r="F101" s="14" t="s">
        <v>846</v>
      </c>
    </row>
    <row r="102" spans="1:6" ht="12.75" customHeight="1">
      <c r="A102" s="114" t="s">
        <v>779</v>
      </c>
      <c r="B102" s="115"/>
      <c r="C102" s="116"/>
      <c r="D102" s="18">
        <v>785652.65</v>
      </c>
      <c r="E102" s="48">
        <v>10</v>
      </c>
      <c r="F102" s="14" t="s">
        <v>847</v>
      </c>
    </row>
    <row r="103" spans="1:6" ht="12.75" customHeight="1">
      <c r="A103" s="114" t="s">
        <v>780</v>
      </c>
      <c r="B103" s="115"/>
      <c r="C103" s="116"/>
      <c r="D103" s="18">
        <v>108569.3</v>
      </c>
      <c r="E103" s="48">
        <v>11</v>
      </c>
      <c r="F103" s="14" t="s">
        <v>848</v>
      </c>
    </row>
    <row r="104" spans="1:6" ht="12.75" customHeight="1">
      <c r="A104" s="120" t="s">
        <v>781</v>
      </c>
      <c r="B104" s="121"/>
      <c r="C104" s="122"/>
      <c r="D104" s="41">
        <f>D86</f>
        <v>311726</v>
      </c>
      <c r="E104" s="48">
        <v>12</v>
      </c>
      <c r="F104" s="43"/>
    </row>
    <row r="105" spans="1:6" ht="27" customHeight="1">
      <c r="A105" s="108" t="s">
        <v>782</v>
      </c>
      <c r="B105" s="109"/>
      <c r="C105" s="110"/>
      <c r="D105" s="26">
        <f>D96-D98</f>
        <v>675723.0798199999</v>
      </c>
      <c r="E105" s="48">
        <v>13</v>
      </c>
      <c r="F105" s="43"/>
    </row>
    <row r="106" spans="1:6" ht="25.5" customHeight="1">
      <c r="A106" s="108" t="s">
        <v>1623</v>
      </c>
      <c r="B106" s="109"/>
      <c r="C106" s="110"/>
      <c r="D106" s="26">
        <f>D99-D101</f>
        <v>-34467.619999999995</v>
      </c>
      <c r="E106" s="48">
        <v>14</v>
      </c>
      <c r="F106" s="43"/>
    </row>
    <row r="107" spans="1:6" ht="25.5" customHeight="1">
      <c r="A107" s="108" t="s">
        <v>784</v>
      </c>
      <c r="B107" s="109"/>
      <c r="C107" s="110"/>
      <c r="D107" s="26">
        <f>D97-D98</f>
        <v>247566.42981999996</v>
      </c>
      <c r="E107" s="48">
        <v>15</v>
      </c>
      <c r="F107" s="43"/>
    </row>
    <row r="108" ht="12.75">
      <c r="F108" s="43"/>
    </row>
  </sheetData>
  <sheetProtection/>
  <mergeCells count="30">
    <mergeCell ref="A98:C98"/>
    <mergeCell ref="A94:C94"/>
    <mergeCell ref="A92:C92"/>
    <mergeCell ref="A93:C93"/>
    <mergeCell ref="A99:C99"/>
    <mergeCell ref="A101:C101"/>
    <mergeCell ref="A104:C104"/>
    <mergeCell ref="A105:C105"/>
    <mergeCell ref="A3:C3"/>
    <mergeCell ref="A4:C4"/>
    <mergeCell ref="A56:C56"/>
    <mergeCell ref="A6:C6"/>
    <mergeCell ref="A103:C103"/>
    <mergeCell ref="A102:C102"/>
    <mergeCell ref="A107:C107"/>
    <mergeCell ref="A7:C7"/>
    <mergeCell ref="A54:C54"/>
    <mergeCell ref="A95:C95"/>
    <mergeCell ref="A96:C96"/>
    <mergeCell ref="A59:C59"/>
    <mergeCell ref="A84:C84"/>
    <mergeCell ref="A82:C82"/>
    <mergeCell ref="A106:C106"/>
    <mergeCell ref="A100:C100"/>
    <mergeCell ref="A91:C91"/>
    <mergeCell ref="A72:C72"/>
    <mergeCell ref="A86:C86"/>
    <mergeCell ref="A90:C90"/>
    <mergeCell ref="A97:C97"/>
    <mergeCell ref="A1:D1"/>
  </mergeCells>
  <printOptions/>
  <pageMargins left="0.17" right="0.24" top="0.2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2"/>
  <sheetViews>
    <sheetView zoomScalePageLayoutView="0" workbookViewId="0" topLeftCell="A1">
      <pane ySplit="2" topLeftCell="A63" activePane="bottomLeft" state="frozen"/>
      <selection pane="topLeft" activeCell="A1" sqref="A1"/>
      <selection pane="bottomLeft" activeCell="B87" sqref="B87"/>
    </sheetView>
  </sheetViews>
  <sheetFormatPr defaultColWidth="13.421875" defaultRowHeight="12.75" outlineLevelRow="2"/>
  <cols>
    <col min="1" max="1" width="11.8515625" style="1" customWidth="1"/>
    <col min="2" max="2" width="9.1406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4.75" customHeight="1" thickBot="1">
      <c r="A1" s="135" t="s">
        <v>1611</v>
      </c>
      <c r="B1" s="136"/>
      <c r="C1" s="136"/>
      <c r="D1" s="136"/>
    </row>
    <row r="2" spans="1:5" ht="23.25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D4+D31+D33+D35+D48+D55+D60+D61</f>
        <v>199464.53999999995</v>
      </c>
      <c r="E3" s="45"/>
    </row>
    <row r="4" spans="1:5" ht="13.5" outlineLevel="1" thickTop="1">
      <c r="A4" s="111" t="s">
        <v>1354</v>
      </c>
      <c r="B4" s="112"/>
      <c r="C4" s="113"/>
      <c r="D4" s="28">
        <f>SUM(D5:D30)</f>
        <v>54285.72000000001</v>
      </c>
      <c r="E4" s="46"/>
    </row>
    <row r="5" spans="1:5" ht="12.75" outlineLevel="2">
      <c r="A5" s="7" t="s">
        <v>1755</v>
      </c>
      <c r="B5" s="29" t="s">
        <v>849</v>
      </c>
      <c r="C5" s="7" t="s">
        <v>1757</v>
      </c>
      <c r="D5" s="30">
        <v>522</v>
      </c>
      <c r="E5" s="46"/>
    </row>
    <row r="6" spans="1:5" ht="12.75" outlineLevel="2">
      <c r="A6" s="7" t="s">
        <v>1919</v>
      </c>
      <c r="B6" s="29" t="s">
        <v>849</v>
      </c>
      <c r="C6" s="7" t="s">
        <v>1918</v>
      </c>
      <c r="D6" s="30">
        <v>1779</v>
      </c>
      <c r="E6" s="46"/>
    </row>
    <row r="7" spans="1:5" ht="12.75" outlineLevel="2">
      <c r="A7" s="7" t="s">
        <v>2157</v>
      </c>
      <c r="B7" s="29" t="s">
        <v>849</v>
      </c>
      <c r="C7" s="7" t="s">
        <v>2154</v>
      </c>
      <c r="D7" s="30">
        <v>1170</v>
      </c>
      <c r="E7" s="46"/>
    </row>
    <row r="8" spans="1:5" ht="12.75" outlineLevel="2">
      <c r="A8" s="7" t="s">
        <v>455</v>
      </c>
      <c r="B8" s="29" t="s">
        <v>1951</v>
      </c>
      <c r="C8" s="7" t="s">
        <v>457</v>
      </c>
      <c r="D8" s="30">
        <v>437</v>
      </c>
      <c r="E8" s="46"/>
    </row>
    <row r="9" spans="1:5" ht="12.75" outlineLevel="2">
      <c r="A9" s="7" t="s">
        <v>3</v>
      </c>
      <c r="B9" s="29" t="s">
        <v>1952</v>
      </c>
      <c r="C9" s="7" t="s">
        <v>4</v>
      </c>
      <c r="D9" s="30">
        <v>383</v>
      </c>
      <c r="E9" s="46"/>
    </row>
    <row r="10" spans="1:5" ht="12.75" outlineLevel="2">
      <c r="A10" s="7" t="s">
        <v>2280</v>
      </c>
      <c r="B10" s="29" t="s">
        <v>1952</v>
      </c>
      <c r="C10" s="7" t="s">
        <v>666</v>
      </c>
      <c r="D10" s="30">
        <v>12.52</v>
      </c>
      <c r="E10" s="46"/>
    </row>
    <row r="11" spans="1:5" ht="12.75" outlineLevel="2">
      <c r="A11" s="7" t="s">
        <v>2379</v>
      </c>
      <c r="B11" s="29" t="s">
        <v>1952</v>
      </c>
      <c r="C11" s="7" t="s">
        <v>2174</v>
      </c>
      <c r="D11" s="30">
        <v>94.7</v>
      </c>
      <c r="E11" s="46"/>
    </row>
    <row r="12" spans="1:5" ht="12.75" outlineLevel="2">
      <c r="A12" s="7" t="s">
        <v>2297</v>
      </c>
      <c r="B12" s="29" t="s">
        <v>1953</v>
      </c>
      <c r="C12" s="7" t="s">
        <v>2299</v>
      </c>
      <c r="D12" s="30">
        <v>1154</v>
      </c>
      <c r="E12" s="46"/>
    </row>
    <row r="13" spans="1:5" ht="12.75" outlineLevel="2">
      <c r="A13" s="7" t="s">
        <v>2309</v>
      </c>
      <c r="B13" s="29" t="s">
        <v>1953</v>
      </c>
      <c r="C13" s="7" t="s">
        <v>2310</v>
      </c>
      <c r="D13" s="30">
        <v>3818</v>
      </c>
      <c r="E13" s="46"/>
    </row>
    <row r="14" spans="1:5" ht="12.75" outlineLevel="2">
      <c r="A14" s="51" t="s">
        <v>2643</v>
      </c>
      <c r="B14" s="52" t="s">
        <v>1954</v>
      </c>
      <c r="C14" s="51" t="s">
        <v>2644</v>
      </c>
      <c r="D14" s="30">
        <v>4058</v>
      </c>
      <c r="E14" s="46"/>
    </row>
    <row r="15" spans="1:5" ht="12.75" outlineLevel="2">
      <c r="A15" s="8" t="s">
        <v>580</v>
      </c>
      <c r="B15" s="29" t="s">
        <v>1954</v>
      </c>
      <c r="C15" s="7" t="s">
        <v>558</v>
      </c>
      <c r="D15" s="30">
        <v>400.77</v>
      </c>
      <c r="E15" s="46"/>
    </row>
    <row r="16" spans="1:5" ht="12.75" outlineLevel="2">
      <c r="A16" s="8" t="s">
        <v>581</v>
      </c>
      <c r="B16" s="29" t="s">
        <v>1954</v>
      </c>
      <c r="C16" s="7" t="s">
        <v>2778</v>
      </c>
      <c r="D16" s="30">
        <f>225.43+189.4</f>
        <v>414.83000000000004</v>
      </c>
      <c r="E16" s="46"/>
    </row>
    <row r="17" spans="1:5" ht="12.75" outlineLevel="2">
      <c r="A17" s="7" t="s">
        <v>181</v>
      </c>
      <c r="B17" s="29" t="s">
        <v>1955</v>
      </c>
      <c r="C17" s="7" t="s">
        <v>972</v>
      </c>
      <c r="D17" s="30">
        <v>1310</v>
      </c>
      <c r="E17" s="46"/>
    </row>
    <row r="18" spans="1:5" ht="12.75" outlineLevel="2">
      <c r="A18" s="8" t="s">
        <v>429</v>
      </c>
      <c r="B18" s="29" t="s">
        <v>1955</v>
      </c>
      <c r="C18" s="7" t="s">
        <v>430</v>
      </c>
      <c r="D18" s="31">
        <v>5292</v>
      </c>
      <c r="E18" s="46"/>
    </row>
    <row r="19" spans="1:5" ht="12.75" outlineLevel="2">
      <c r="A19" s="8" t="s">
        <v>1930</v>
      </c>
      <c r="B19" s="29" t="s">
        <v>1955</v>
      </c>
      <c r="C19" s="7" t="s">
        <v>430</v>
      </c>
      <c r="D19" s="31">
        <v>2413.33</v>
      </c>
      <c r="E19" s="46"/>
    </row>
    <row r="20" spans="1:5" ht="12.75" outlineLevel="2">
      <c r="A20" s="8" t="s">
        <v>2577</v>
      </c>
      <c r="B20" s="29" t="s">
        <v>1957</v>
      </c>
      <c r="C20" s="7" t="s">
        <v>2578</v>
      </c>
      <c r="D20" s="30">
        <v>25.05</v>
      </c>
      <c r="E20" s="46"/>
    </row>
    <row r="21" spans="1:5" ht="12.75" outlineLevel="2">
      <c r="A21" s="8" t="s">
        <v>2593</v>
      </c>
      <c r="B21" s="29" t="s">
        <v>1957</v>
      </c>
      <c r="C21" s="7" t="s">
        <v>2594</v>
      </c>
      <c r="D21" s="31">
        <v>12.52</v>
      </c>
      <c r="E21" s="46"/>
    </row>
    <row r="22" spans="1:5" ht="12.75" outlineLevel="2">
      <c r="A22" s="8" t="s">
        <v>1209</v>
      </c>
      <c r="B22" s="29" t="s">
        <v>1957</v>
      </c>
      <c r="C22" s="7" t="s">
        <v>1211</v>
      </c>
      <c r="D22" s="31">
        <v>10868</v>
      </c>
      <c r="E22" s="46"/>
    </row>
    <row r="23" spans="1:5" ht="12.75" outlineLevel="2">
      <c r="A23" s="8" t="s">
        <v>320</v>
      </c>
      <c r="B23" s="29" t="s">
        <v>1958</v>
      </c>
      <c r="C23" s="7" t="s">
        <v>321</v>
      </c>
      <c r="D23" s="31">
        <v>1493</v>
      </c>
      <c r="E23" s="46"/>
    </row>
    <row r="24" spans="1:5" ht="12.75" outlineLevel="2">
      <c r="A24" s="8" t="s">
        <v>2120</v>
      </c>
      <c r="B24" s="29" t="s">
        <v>1959</v>
      </c>
      <c r="C24" s="7" t="s">
        <v>2594</v>
      </c>
      <c r="D24" s="31">
        <v>729</v>
      </c>
      <c r="E24" s="46"/>
    </row>
    <row r="25" spans="1:5" ht="12.75" outlineLevel="2">
      <c r="A25" s="8" t="s">
        <v>285</v>
      </c>
      <c r="B25" s="29" t="s">
        <v>1960</v>
      </c>
      <c r="C25" s="7" t="s">
        <v>2754</v>
      </c>
      <c r="D25" s="31">
        <v>9748.25</v>
      </c>
      <c r="E25" s="46"/>
    </row>
    <row r="26" spans="1:5" ht="12.75" outlineLevel="2">
      <c r="A26" s="8" t="s">
        <v>286</v>
      </c>
      <c r="B26" s="29" t="s">
        <v>1960</v>
      </c>
      <c r="C26" s="7" t="s">
        <v>287</v>
      </c>
      <c r="D26" s="31">
        <v>2758.45</v>
      </c>
      <c r="E26" s="46"/>
    </row>
    <row r="27" spans="1:5" ht="12.75" outlineLevel="2">
      <c r="A27" s="8" t="s">
        <v>336</v>
      </c>
      <c r="B27" s="29" t="s">
        <v>1960</v>
      </c>
      <c r="C27" s="7" t="s">
        <v>337</v>
      </c>
      <c r="D27" s="31">
        <v>25.05</v>
      </c>
      <c r="E27" s="46"/>
    </row>
    <row r="28" spans="1:5" ht="12.75" outlineLevel="2">
      <c r="A28" s="8" t="s">
        <v>947</v>
      </c>
      <c r="B28" s="29" t="s">
        <v>1960</v>
      </c>
      <c r="C28" s="7" t="s">
        <v>921</v>
      </c>
      <c r="D28" s="31">
        <v>2272.8</v>
      </c>
      <c r="E28" s="46"/>
    </row>
    <row r="29" spans="1:5" ht="12.75" outlineLevel="2">
      <c r="A29" s="55" t="s">
        <v>1455</v>
      </c>
      <c r="B29" s="52" t="s">
        <v>1961</v>
      </c>
      <c r="C29" s="55" t="s">
        <v>1456</v>
      </c>
      <c r="D29" s="31">
        <v>3069.4</v>
      </c>
      <c r="E29" s="46"/>
    </row>
    <row r="30" spans="1:5" ht="12.75" outlineLevel="2">
      <c r="A30" s="8" t="s">
        <v>1520</v>
      </c>
      <c r="B30" s="52" t="s">
        <v>1961</v>
      </c>
      <c r="C30" s="55" t="s">
        <v>1516</v>
      </c>
      <c r="D30" s="31">
        <v>25.05</v>
      </c>
      <c r="E30" s="46"/>
    </row>
    <row r="31" spans="1:5" ht="12.75" outlineLevel="1">
      <c r="A31" s="117" t="s">
        <v>1340</v>
      </c>
      <c r="B31" s="118"/>
      <c r="C31" s="119"/>
      <c r="D31" s="28">
        <f>SUM(D32:D32)</f>
        <v>598</v>
      </c>
      <c r="E31" s="46"/>
    </row>
    <row r="32" spans="1:5" ht="12.75" outlineLevel="2">
      <c r="A32" s="9" t="s">
        <v>2468</v>
      </c>
      <c r="B32" s="29" t="s">
        <v>1953</v>
      </c>
      <c r="C32" s="51" t="s">
        <v>1612</v>
      </c>
      <c r="D32" s="30">
        <v>598</v>
      </c>
      <c r="E32" s="46"/>
    </row>
    <row r="33" spans="1:5" ht="12.75" outlineLevel="1">
      <c r="A33" s="117" t="s">
        <v>1342</v>
      </c>
      <c r="B33" s="118"/>
      <c r="C33" s="119"/>
      <c r="D33" s="28">
        <f>SUM(D34:D34)</f>
        <v>12631</v>
      </c>
      <c r="E33" s="46"/>
    </row>
    <row r="34" spans="1:5" ht="12.75" outlineLevel="2">
      <c r="A34" s="7" t="s">
        <v>1025</v>
      </c>
      <c r="B34" s="29" t="s">
        <v>1955</v>
      </c>
      <c r="C34" s="7" t="s">
        <v>1026</v>
      </c>
      <c r="D34" s="30">
        <v>12631</v>
      </c>
      <c r="E34" s="46"/>
    </row>
    <row r="35" spans="1:5" ht="12.75" outlineLevel="1">
      <c r="A35" s="117" t="s">
        <v>1344</v>
      </c>
      <c r="B35" s="118"/>
      <c r="C35" s="119"/>
      <c r="D35" s="28">
        <f>SUM(D36:D47)</f>
        <v>78770.31999999999</v>
      </c>
      <c r="E35" s="46"/>
    </row>
    <row r="36" spans="1:5" ht="12.75" outlineLevel="2">
      <c r="A36" s="7"/>
      <c r="B36" s="29" t="s">
        <v>849</v>
      </c>
      <c r="C36" s="7" t="s">
        <v>1966</v>
      </c>
      <c r="D36" s="30">
        <f>1491.36+1302.58+774+1831.17+792.88+490.83</f>
        <v>6682.82</v>
      </c>
      <c r="E36" s="46"/>
    </row>
    <row r="37" spans="1:5" ht="12.75" outlineLevel="2">
      <c r="A37" s="7"/>
      <c r="B37" s="29" t="s">
        <v>1951</v>
      </c>
      <c r="C37" s="7" t="s">
        <v>1966</v>
      </c>
      <c r="D37" s="30">
        <f>1491.36+1302.58+774+1831.17+792.88+490.83</f>
        <v>6682.82</v>
      </c>
      <c r="E37" s="46"/>
    </row>
    <row r="38" spans="1:5" ht="12.75" outlineLevel="2">
      <c r="A38" s="7"/>
      <c r="B38" s="29" t="s">
        <v>1952</v>
      </c>
      <c r="C38" s="7" t="s">
        <v>1966</v>
      </c>
      <c r="D38" s="30">
        <f>1491.36+1302.58+774+1831.17+792.88+490.83+113.27</f>
        <v>6796.09</v>
      </c>
      <c r="E38" s="46"/>
    </row>
    <row r="39" spans="1:5" ht="12.75" outlineLevel="2">
      <c r="A39" s="7"/>
      <c r="B39" s="29" t="s">
        <v>1953</v>
      </c>
      <c r="C39" s="7" t="s">
        <v>1966</v>
      </c>
      <c r="D39" s="30">
        <f>1491.36+1151.56+2605.16+755.12+490.83+113.27</f>
        <v>6607.3</v>
      </c>
      <c r="E39" s="46"/>
    </row>
    <row r="40" spans="1:5" ht="12.75" outlineLevel="2">
      <c r="A40" s="7"/>
      <c r="B40" s="29" t="s">
        <v>1954</v>
      </c>
      <c r="C40" s="7" t="s">
        <v>1966</v>
      </c>
      <c r="D40" s="30">
        <f>1491.36+1000.53+2567.41+698.49+471.95+113.27</f>
        <v>6343.009999999999</v>
      </c>
      <c r="E40" s="46"/>
    </row>
    <row r="41" spans="1:5" ht="12.75" outlineLevel="2">
      <c r="A41" s="7"/>
      <c r="B41" s="29" t="s">
        <v>1955</v>
      </c>
      <c r="C41" s="7" t="s">
        <v>1966</v>
      </c>
      <c r="D41" s="30">
        <f>745.68+500.27+1302.58+349.24+235.98</f>
        <v>3133.7499999999995</v>
      </c>
      <c r="E41" s="46"/>
    </row>
    <row r="42" spans="1:5" ht="12.75" outlineLevel="2">
      <c r="A42" s="7"/>
      <c r="B42" s="29" t="s">
        <v>1956</v>
      </c>
      <c r="C42" s="7" t="s">
        <v>1966</v>
      </c>
      <c r="D42" s="30">
        <f>1661.26+1113.8+2907.21+774+528.58</f>
        <v>6984.85</v>
      </c>
      <c r="E42" s="46"/>
    </row>
    <row r="43" spans="1:5" ht="12.75" outlineLevel="2">
      <c r="A43" s="7"/>
      <c r="B43" s="29" t="s">
        <v>1957</v>
      </c>
      <c r="C43" s="7" t="s">
        <v>1966</v>
      </c>
      <c r="D43" s="30">
        <f>1661.26+1113.8+2907.21+774+528.58</f>
        <v>6984.85</v>
      </c>
      <c r="E43" s="46"/>
    </row>
    <row r="44" spans="1:5" ht="12.75" outlineLevel="2">
      <c r="A44" s="7"/>
      <c r="B44" s="29" t="s">
        <v>1958</v>
      </c>
      <c r="C44" s="7" t="s">
        <v>1966</v>
      </c>
      <c r="D44" s="30">
        <f>1661.26+1113.8+2907.21+774+528.58</f>
        <v>6984.85</v>
      </c>
      <c r="E44" s="46"/>
    </row>
    <row r="45" spans="1:5" ht="12.75" outlineLevel="2">
      <c r="A45" s="7"/>
      <c r="B45" s="29" t="s">
        <v>1959</v>
      </c>
      <c r="C45" s="7" t="s">
        <v>1966</v>
      </c>
      <c r="D45" s="30">
        <f>1661.26+1113.8+2907.21+774+528.58</f>
        <v>6984.85</v>
      </c>
      <c r="E45" s="46"/>
    </row>
    <row r="46" spans="1:5" ht="12.75" outlineLevel="2">
      <c r="A46" s="7"/>
      <c r="B46" s="29" t="s">
        <v>1960</v>
      </c>
      <c r="C46" s="7" t="s">
        <v>1966</v>
      </c>
      <c r="D46" s="30">
        <f>1661.26+1453.61+868.39+2038.82+887.27+528.58</f>
        <v>7437.93</v>
      </c>
      <c r="E46" s="46"/>
    </row>
    <row r="47" spans="1:5" ht="12.75" outlineLevel="2">
      <c r="A47" s="11"/>
      <c r="B47" s="29" t="s">
        <v>1961</v>
      </c>
      <c r="C47" s="7" t="s">
        <v>1966</v>
      </c>
      <c r="D47" s="30">
        <f>1661.26+1162.88+868.39+2038.82+887.27+528.58</f>
        <v>7147.200000000001</v>
      </c>
      <c r="E47" s="46"/>
    </row>
    <row r="48" spans="1:5" ht="12.75" outlineLevel="1">
      <c r="A48" s="117" t="s">
        <v>1346</v>
      </c>
      <c r="B48" s="118"/>
      <c r="C48" s="119"/>
      <c r="D48" s="28">
        <f>SUM(D49:D54)</f>
        <v>3702.53</v>
      </c>
      <c r="E48" s="46"/>
    </row>
    <row r="49" spans="1:5" ht="12.75" outlineLevel="2">
      <c r="A49" s="7" t="s">
        <v>1711</v>
      </c>
      <c r="B49" s="29" t="s">
        <v>849</v>
      </c>
      <c r="C49" s="7" t="s">
        <v>1714</v>
      </c>
      <c r="D49" s="30">
        <v>760</v>
      </c>
      <c r="E49" s="46"/>
    </row>
    <row r="50" spans="1:5" ht="12.75" outlineLevel="2">
      <c r="A50" s="7" t="s">
        <v>1973</v>
      </c>
      <c r="B50" s="29" t="s">
        <v>849</v>
      </c>
      <c r="C50" s="7" t="s">
        <v>1974</v>
      </c>
      <c r="D50" s="30">
        <v>1560</v>
      </c>
      <c r="E50" s="46"/>
    </row>
    <row r="51" spans="1:5" ht="12.75" customHeight="1" outlineLevel="2">
      <c r="A51" s="51" t="s">
        <v>2251</v>
      </c>
      <c r="B51" s="29" t="s">
        <v>1952</v>
      </c>
      <c r="C51" s="7" t="s">
        <v>2393</v>
      </c>
      <c r="D51" s="30">
        <v>400</v>
      </c>
      <c r="E51" s="46"/>
    </row>
    <row r="52" spans="1:5" ht="12.75" customHeight="1" outlineLevel="2">
      <c r="A52" s="51" t="s">
        <v>2251</v>
      </c>
      <c r="B52" s="29" t="s">
        <v>1952</v>
      </c>
      <c r="C52" s="7" t="s">
        <v>2394</v>
      </c>
      <c r="D52" s="30">
        <v>39</v>
      </c>
      <c r="E52" s="46"/>
    </row>
    <row r="53" spans="1:5" ht="12.75" customHeight="1" outlineLevel="2">
      <c r="A53" s="51" t="s">
        <v>2251</v>
      </c>
      <c r="B53" s="29" t="s">
        <v>1952</v>
      </c>
      <c r="C53" s="7" t="s">
        <v>2390</v>
      </c>
      <c r="D53" s="30">
        <v>311.11</v>
      </c>
      <c r="E53" s="46"/>
    </row>
    <row r="54" spans="1:5" ht="12.75" outlineLevel="2">
      <c r="A54" s="7" t="s">
        <v>1416</v>
      </c>
      <c r="B54" s="29" t="s">
        <v>1961</v>
      </c>
      <c r="C54" s="51" t="s">
        <v>2245</v>
      </c>
      <c r="D54" s="30">
        <v>632.42</v>
      </c>
      <c r="E54" s="46"/>
    </row>
    <row r="55" spans="1:5" ht="12.75" outlineLevel="1">
      <c r="A55" s="117" t="s">
        <v>1341</v>
      </c>
      <c r="B55" s="118"/>
      <c r="C55" s="119"/>
      <c r="D55" s="28">
        <f>SUM(D56:D59)</f>
        <v>9667.09</v>
      </c>
      <c r="E55" s="46"/>
    </row>
    <row r="56" spans="1:5" ht="12.75" outlineLevel="2">
      <c r="A56" s="7" t="s">
        <v>1897</v>
      </c>
      <c r="B56" s="29" t="s">
        <v>849</v>
      </c>
      <c r="C56" s="7" t="s">
        <v>1898</v>
      </c>
      <c r="D56" s="30">
        <v>832</v>
      </c>
      <c r="E56" s="46"/>
    </row>
    <row r="57" spans="1:5" ht="12.75" outlineLevel="2">
      <c r="A57" s="51" t="s">
        <v>671</v>
      </c>
      <c r="B57" s="52" t="s">
        <v>1951</v>
      </c>
      <c r="C57" s="51" t="s">
        <v>672</v>
      </c>
      <c r="D57" s="30">
        <v>689</v>
      </c>
      <c r="E57" s="46"/>
    </row>
    <row r="58" spans="1:5" ht="12.75" outlineLevel="2">
      <c r="A58" s="7" t="s">
        <v>2729</v>
      </c>
      <c r="B58" s="29" t="s">
        <v>1960</v>
      </c>
      <c r="C58" s="7" t="s">
        <v>2731</v>
      </c>
      <c r="D58" s="30">
        <v>7810.84</v>
      </c>
      <c r="E58" s="46"/>
    </row>
    <row r="59" spans="1:5" ht="12.75" outlineLevel="2">
      <c r="A59" s="7" t="s">
        <v>1420</v>
      </c>
      <c r="B59" s="29" t="s">
        <v>1961</v>
      </c>
      <c r="C59" s="7" t="s">
        <v>1423</v>
      </c>
      <c r="D59" s="30">
        <v>335.25</v>
      </c>
      <c r="E59" s="46"/>
    </row>
    <row r="60" spans="1:6" ht="12.75">
      <c r="A60" s="6">
        <v>2010.6</v>
      </c>
      <c r="B60" s="6" t="s">
        <v>1356</v>
      </c>
      <c r="C60" s="37" t="s">
        <v>1345</v>
      </c>
      <c r="D60" s="23">
        <f>(2010.6*6*1.46)+(2010.6*6*1.63)</f>
        <v>37276.52399999999</v>
      </c>
      <c r="E60" s="46"/>
      <c r="F60" s="37" t="s">
        <v>1352</v>
      </c>
    </row>
    <row r="61" spans="1:6" ht="13.5" thickBot="1">
      <c r="A61" s="6">
        <v>2010.6</v>
      </c>
      <c r="B61" s="6" t="s">
        <v>1356</v>
      </c>
      <c r="C61" s="37" t="s">
        <v>1357</v>
      </c>
      <c r="D61" s="23">
        <f>(2010.6*6*0.1)+(2010.6*6*0.11)</f>
        <v>2533.3559999999998</v>
      </c>
      <c r="E61" s="46"/>
      <c r="F61" s="37" t="s">
        <v>1351</v>
      </c>
    </row>
    <row r="62" spans="1:6" ht="12.75" customHeight="1" thickTop="1">
      <c r="A62" s="132" t="s">
        <v>1361</v>
      </c>
      <c r="B62" s="133"/>
      <c r="C62" s="134"/>
      <c r="D62" s="76">
        <f>(2010.6*6*0.94)+(2010.6*6*1.03)</f>
        <v>23765.291999999994</v>
      </c>
      <c r="E62" s="48"/>
      <c r="F62" s="14" t="s">
        <v>787</v>
      </c>
    </row>
    <row r="63" spans="1:6" ht="12.75" customHeight="1">
      <c r="A63" s="125" t="s">
        <v>1350</v>
      </c>
      <c r="B63" s="126"/>
      <c r="C63" s="127"/>
      <c r="D63" s="76">
        <f>(2010.6*6*1.57)+(2010.6*6*1.75)</f>
        <v>40051.151999999995</v>
      </c>
      <c r="E63" s="48"/>
      <c r="F63" s="14" t="s">
        <v>788</v>
      </c>
    </row>
    <row r="64" spans="1:6" ht="12.75" customHeight="1">
      <c r="A64" s="125" t="s">
        <v>1362</v>
      </c>
      <c r="B64" s="126"/>
      <c r="C64" s="127"/>
      <c r="D64" s="18">
        <f>10.3*(D66+D67)/100</f>
        <v>55404.46941</v>
      </c>
      <c r="E64" s="48"/>
      <c r="F64" s="14" t="s">
        <v>789</v>
      </c>
    </row>
    <row r="65" spans="1:6" ht="12.75" customHeight="1">
      <c r="A65" s="120" t="s">
        <v>1363</v>
      </c>
      <c r="B65" s="121"/>
      <c r="C65" s="122"/>
      <c r="D65" s="41">
        <f>D64+D63+D62+D3</f>
        <v>318685.45340999996</v>
      </c>
      <c r="E65" s="48">
        <v>1</v>
      </c>
      <c r="F65" s="14" t="s">
        <v>790</v>
      </c>
    </row>
    <row r="66" spans="1:6" ht="12.75" customHeight="1">
      <c r="A66" s="114" t="s">
        <v>1364</v>
      </c>
      <c r="B66" s="115"/>
      <c r="C66" s="116"/>
      <c r="D66" s="18">
        <v>472598.1</v>
      </c>
      <c r="E66" s="48">
        <v>2</v>
      </c>
      <c r="F66" s="27"/>
    </row>
    <row r="67" spans="1:6" ht="12.75" customHeight="1">
      <c r="A67" s="114" t="s">
        <v>1365</v>
      </c>
      <c r="B67" s="115"/>
      <c r="C67" s="116"/>
      <c r="D67" s="18">
        <v>65309.37</v>
      </c>
      <c r="E67" s="48">
        <v>3</v>
      </c>
      <c r="F67" s="37" t="s">
        <v>1352</v>
      </c>
    </row>
    <row r="68" spans="1:6" ht="12.75" customHeight="1">
      <c r="A68" s="114" t="s">
        <v>2221</v>
      </c>
      <c r="B68" s="115"/>
      <c r="C68" s="116"/>
      <c r="D68" s="19">
        <f>510187.34+D66+D69</f>
        <v>1052060.8299999998</v>
      </c>
      <c r="E68" s="48">
        <v>4</v>
      </c>
      <c r="F68" s="37" t="s">
        <v>791</v>
      </c>
    </row>
    <row r="69" spans="1:6" ht="26.25" customHeight="1">
      <c r="A69" s="114" t="s">
        <v>635</v>
      </c>
      <c r="B69" s="115"/>
      <c r="C69" s="116"/>
      <c r="D69" s="19">
        <v>69275.39</v>
      </c>
      <c r="E69" s="48"/>
      <c r="F69" s="37"/>
    </row>
    <row r="70" spans="1:6" ht="13.5" customHeight="1">
      <c r="A70" s="114" t="s">
        <v>2222</v>
      </c>
      <c r="B70" s="115"/>
      <c r="C70" s="116"/>
      <c r="D70" s="19">
        <f>81541.23+D76+D71</f>
        <v>200918.22999999998</v>
      </c>
      <c r="E70" s="48">
        <v>5</v>
      </c>
      <c r="F70" s="14" t="s">
        <v>843</v>
      </c>
    </row>
    <row r="71" spans="1:6" ht="27.75" customHeight="1">
      <c r="A71" s="114" t="s">
        <v>636</v>
      </c>
      <c r="B71" s="115"/>
      <c r="C71" s="116"/>
      <c r="D71" s="19">
        <v>31283.94</v>
      </c>
      <c r="E71" s="48"/>
      <c r="F71" s="14"/>
    </row>
    <row r="72" spans="1:6" ht="25.5" customHeight="1">
      <c r="A72" s="120" t="s">
        <v>2223</v>
      </c>
      <c r="B72" s="121"/>
      <c r="C72" s="122"/>
      <c r="D72" s="42">
        <f>506796.73+D65</f>
        <v>825482.1834099999</v>
      </c>
      <c r="E72" s="48">
        <v>6</v>
      </c>
      <c r="F72" s="14" t="s">
        <v>844</v>
      </c>
    </row>
    <row r="73" spans="1:6" ht="12.75" customHeight="1">
      <c r="A73" s="114" t="s">
        <v>2224</v>
      </c>
      <c r="B73" s="115"/>
      <c r="C73" s="116"/>
      <c r="D73" s="19">
        <f>70446.3+D67</f>
        <v>135755.67</v>
      </c>
      <c r="E73" s="48">
        <v>7</v>
      </c>
      <c r="F73" s="14" t="s">
        <v>845</v>
      </c>
    </row>
    <row r="74" spans="1:6" ht="12.75" customHeight="1">
      <c r="A74" s="114" t="s">
        <v>2225</v>
      </c>
      <c r="B74" s="115"/>
      <c r="C74" s="116"/>
      <c r="D74" s="19">
        <f>11253+D77</f>
        <v>23426.77</v>
      </c>
      <c r="E74" s="48">
        <v>8</v>
      </c>
      <c r="F74" s="14" t="s">
        <v>787</v>
      </c>
    </row>
    <row r="75" spans="1:6" ht="12.75" customHeight="1">
      <c r="A75" s="120" t="s">
        <v>2226</v>
      </c>
      <c r="B75" s="121"/>
      <c r="C75" s="122"/>
      <c r="D75" s="42">
        <v>0</v>
      </c>
      <c r="E75" s="48">
        <v>9</v>
      </c>
      <c r="F75" s="14" t="s">
        <v>846</v>
      </c>
    </row>
    <row r="76" spans="1:6" ht="12.75" customHeight="1">
      <c r="A76" s="114" t="s">
        <v>779</v>
      </c>
      <c r="B76" s="115"/>
      <c r="C76" s="116"/>
      <c r="D76" s="18">
        <v>88093.06</v>
      </c>
      <c r="E76" s="48">
        <v>10</v>
      </c>
      <c r="F76" s="14" t="s">
        <v>847</v>
      </c>
    </row>
    <row r="77" spans="1:6" ht="12.75" customHeight="1">
      <c r="A77" s="114" t="s">
        <v>780</v>
      </c>
      <c r="B77" s="115"/>
      <c r="C77" s="116"/>
      <c r="D77" s="18">
        <v>12173.77</v>
      </c>
      <c r="E77" s="48">
        <v>11</v>
      </c>
      <c r="F77" s="14" t="s">
        <v>848</v>
      </c>
    </row>
    <row r="78" spans="1:6" ht="12.75" customHeight="1">
      <c r="A78" s="120" t="s">
        <v>781</v>
      </c>
      <c r="B78" s="121"/>
      <c r="C78" s="122"/>
      <c r="D78" s="41">
        <v>0</v>
      </c>
      <c r="E78" s="48">
        <v>12</v>
      </c>
      <c r="F78" s="43"/>
    </row>
    <row r="79" spans="1:6" ht="27" customHeight="1">
      <c r="A79" s="108" t="s">
        <v>782</v>
      </c>
      <c r="B79" s="109"/>
      <c r="C79" s="110"/>
      <c r="D79" s="26">
        <f>D68-D72</f>
        <v>226578.6465899999</v>
      </c>
      <c r="E79" s="48">
        <v>13</v>
      </c>
      <c r="F79" s="43"/>
    </row>
    <row r="80" spans="1:6" ht="25.5" customHeight="1">
      <c r="A80" s="108" t="s">
        <v>783</v>
      </c>
      <c r="B80" s="109"/>
      <c r="C80" s="110"/>
      <c r="D80" s="26">
        <f>D73-D75</f>
        <v>135755.67</v>
      </c>
      <c r="E80" s="48">
        <v>14</v>
      </c>
      <c r="F80" s="43"/>
    </row>
    <row r="81" spans="1:6" ht="25.5" customHeight="1">
      <c r="A81" s="108" t="s">
        <v>718</v>
      </c>
      <c r="B81" s="109"/>
      <c r="C81" s="110"/>
      <c r="D81" s="26">
        <f>D70-D72</f>
        <v>-624563.95341</v>
      </c>
      <c r="E81" s="48">
        <v>15</v>
      </c>
      <c r="F81" s="43"/>
    </row>
    <row r="82" ht="12.75">
      <c r="F82" s="43"/>
    </row>
  </sheetData>
  <sheetProtection/>
  <mergeCells count="28">
    <mergeCell ref="A69:C69"/>
    <mergeCell ref="A70:C70"/>
    <mergeCell ref="A68:C68"/>
    <mergeCell ref="A31:C31"/>
    <mergeCell ref="A33:C33"/>
    <mergeCell ref="A35:C35"/>
    <mergeCell ref="A48:C48"/>
    <mergeCell ref="A55:C55"/>
    <mergeCell ref="A78:C78"/>
    <mergeCell ref="A1:D1"/>
    <mergeCell ref="A3:C3"/>
    <mergeCell ref="A4:C4"/>
    <mergeCell ref="A72:C72"/>
    <mergeCell ref="A73:C73"/>
    <mergeCell ref="A62:C62"/>
    <mergeCell ref="A63:C63"/>
    <mergeCell ref="A64:C64"/>
    <mergeCell ref="A65:C65"/>
    <mergeCell ref="A79:C79"/>
    <mergeCell ref="A71:C71"/>
    <mergeCell ref="A66:C66"/>
    <mergeCell ref="A67:C67"/>
    <mergeCell ref="A80:C80"/>
    <mergeCell ref="A81:C81"/>
    <mergeCell ref="A74:C74"/>
    <mergeCell ref="A75:C75"/>
    <mergeCell ref="A76:C76"/>
    <mergeCell ref="A77:C7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34"/>
  <sheetViews>
    <sheetView zoomScalePageLayoutView="0" workbookViewId="0" topLeftCell="A1">
      <pane ySplit="2" topLeftCell="A126" activePane="bottomLeft" state="frozen"/>
      <selection pane="topLeft" activeCell="A1" sqref="A1"/>
      <selection pane="bottomLeft" activeCell="A1" sqref="A1:D133"/>
    </sheetView>
  </sheetViews>
  <sheetFormatPr defaultColWidth="13.421875" defaultRowHeight="12.75" outlineLevelRow="2"/>
  <cols>
    <col min="1" max="1" width="14.140625" style="1" customWidth="1"/>
    <col min="2" max="2" width="9.85156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6.25" customHeight="1" thickBot="1">
      <c r="A1" s="135" t="s">
        <v>1614</v>
      </c>
      <c r="B1" s="136"/>
      <c r="C1" s="136"/>
      <c r="D1" s="136"/>
    </row>
    <row r="2" spans="1:5" ht="24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D4+D8+D10</f>
        <v>220133.57</v>
      </c>
      <c r="E3" s="45"/>
    </row>
    <row r="4" spans="1:5" ht="12.75" outlineLevel="1">
      <c r="A4" s="117" t="s">
        <v>1354</v>
      </c>
      <c r="B4" s="118"/>
      <c r="C4" s="119"/>
      <c r="D4" s="28">
        <f>SUM(D5:D7)</f>
        <v>121368.65</v>
      </c>
      <c r="E4" s="46"/>
    </row>
    <row r="5" spans="1:5" ht="12.75" outlineLevel="2">
      <c r="A5" s="7" t="s">
        <v>2443</v>
      </c>
      <c r="B5" s="29" t="s">
        <v>1953</v>
      </c>
      <c r="C5" s="13" t="s">
        <v>2534</v>
      </c>
      <c r="D5" s="30">
        <v>39650</v>
      </c>
      <c r="E5" s="46"/>
    </row>
    <row r="6" spans="1:5" ht="12.75" outlineLevel="2">
      <c r="A6" s="51" t="s">
        <v>55</v>
      </c>
      <c r="B6" s="52" t="s">
        <v>1954</v>
      </c>
      <c r="C6" s="63" t="s">
        <v>56</v>
      </c>
      <c r="D6" s="30">
        <v>14381</v>
      </c>
      <c r="E6" s="46"/>
    </row>
    <row r="7" spans="1:5" ht="12.75" outlineLevel="2">
      <c r="A7" s="7" t="s">
        <v>1990</v>
      </c>
      <c r="B7" s="29" t="s">
        <v>1959</v>
      </c>
      <c r="C7" s="13" t="s">
        <v>1991</v>
      </c>
      <c r="D7" s="30">
        <v>67337.65</v>
      </c>
      <c r="E7" s="46"/>
    </row>
    <row r="8" spans="1:5" ht="12.75" outlineLevel="1">
      <c r="A8" s="117" t="s">
        <v>1355</v>
      </c>
      <c r="B8" s="118"/>
      <c r="C8" s="119"/>
      <c r="D8" s="28">
        <f>SUM(D9:D9)</f>
        <v>59114.92</v>
      </c>
      <c r="E8" s="46"/>
    </row>
    <row r="9" spans="1:5" ht="12.75" outlineLevel="2">
      <c r="A9" s="7" t="s">
        <v>264</v>
      </c>
      <c r="B9" s="29" t="s">
        <v>1960</v>
      </c>
      <c r="C9" s="13" t="s">
        <v>265</v>
      </c>
      <c r="D9" s="30">
        <v>59114.92</v>
      </c>
      <c r="E9" s="46"/>
    </row>
    <row r="10" spans="1:5" ht="12.75" outlineLevel="1">
      <c r="A10" s="117" t="s">
        <v>1342</v>
      </c>
      <c r="B10" s="118"/>
      <c r="C10" s="119"/>
      <c r="D10" s="28">
        <f>SUM(D11:D11)</f>
        <v>39650</v>
      </c>
      <c r="E10" s="46"/>
    </row>
    <row r="11" spans="1:5" ht="12.75" outlineLevel="2">
      <c r="A11" s="7" t="s">
        <v>1262</v>
      </c>
      <c r="B11" s="29" t="s">
        <v>1954</v>
      </c>
      <c r="C11" s="7" t="s">
        <v>1263</v>
      </c>
      <c r="D11" s="30">
        <v>39650</v>
      </c>
      <c r="E11" s="46"/>
    </row>
    <row r="12" spans="1:5" ht="13.5" customHeight="1" thickBot="1">
      <c r="A12" s="124" t="s">
        <v>1343</v>
      </c>
      <c r="B12" s="124"/>
      <c r="C12" s="124"/>
      <c r="D12" s="25">
        <f>D13+D64+D67+D70+D83+D96+D106+D108+D109</f>
        <v>301082.48000000004</v>
      </c>
      <c r="E12" s="45"/>
    </row>
    <row r="13" spans="1:5" ht="13.5" outlineLevel="1" thickTop="1">
      <c r="A13" s="111" t="s">
        <v>1354</v>
      </c>
      <c r="B13" s="112"/>
      <c r="C13" s="113"/>
      <c r="D13" s="28">
        <f>SUM(D14:D33)</f>
        <v>31264.140000000007</v>
      </c>
      <c r="E13" s="46"/>
    </row>
    <row r="14" spans="1:5" ht="25.5" outlineLevel="2">
      <c r="A14" s="7" t="s">
        <v>142</v>
      </c>
      <c r="B14" s="29" t="s">
        <v>849</v>
      </c>
      <c r="C14" s="7" t="s">
        <v>1057</v>
      </c>
      <c r="D14" s="30">
        <v>6575</v>
      </c>
      <c r="E14" s="46"/>
    </row>
    <row r="15" spans="1:5" ht="12.75" outlineLevel="2">
      <c r="A15" s="7" t="s">
        <v>1140</v>
      </c>
      <c r="B15" s="29" t="s">
        <v>849</v>
      </c>
      <c r="C15" s="7" t="s">
        <v>1141</v>
      </c>
      <c r="D15" s="30">
        <v>235</v>
      </c>
      <c r="E15" s="46"/>
    </row>
    <row r="16" spans="1:5" ht="12.75" outlineLevel="2">
      <c r="A16" s="7" t="s">
        <v>1925</v>
      </c>
      <c r="B16" s="29" t="s">
        <v>849</v>
      </c>
      <c r="C16" s="7" t="s">
        <v>1922</v>
      </c>
      <c r="D16" s="30">
        <v>2404</v>
      </c>
      <c r="E16" s="46"/>
    </row>
    <row r="17" spans="1:5" ht="12.75" outlineLevel="2">
      <c r="A17" s="7" t="s">
        <v>1929</v>
      </c>
      <c r="B17" s="29" t="s">
        <v>849</v>
      </c>
      <c r="C17" s="7" t="s">
        <v>1933</v>
      </c>
      <c r="D17" s="30">
        <v>1258</v>
      </c>
      <c r="E17" s="46"/>
    </row>
    <row r="18" spans="1:5" ht="12.75" outlineLevel="2">
      <c r="A18" s="7" t="s">
        <v>2163</v>
      </c>
      <c r="B18" s="29" t="s">
        <v>849</v>
      </c>
      <c r="C18" s="7" t="s">
        <v>2164</v>
      </c>
      <c r="D18" s="30">
        <v>540</v>
      </c>
      <c r="E18" s="46"/>
    </row>
    <row r="19" spans="1:5" ht="12.75" outlineLevel="2">
      <c r="A19" s="7" t="s">
        <v>301</v>
      </c>
      <c r="B19" s="29" t="s">
        <v>1951</v>
      </c>
      <c r="C19" s="7" t="s">
        <v>302</v>
      </c>
      <c r="D19" s="30">
        <v>954</v>
      </c>
      <c r="E19" s="46"/>
    </row>
    <row r="20" spans="1:5" ht="12.75" outlineLevel="2">
      <c r="A20" s="7" t="s">
        <v>454</v>
      </c>
      <c r="B20" s="29" t="s">
        <v>1951</v>
      </c>
      <c r="C20" s="7" t="s">
        <v>303</v>
      </c>
      <c r="D20" s="30">
        <v>2724</v>
      </c>
      <c r="E20" s="46"/>
    </row>
    <row r="21" spans="1:5" ht="12.75" outlineLevel="2">
      <c r="A21" s="7" t="s">
        <v>466</v>
      </c>
      <c r="B21" s="29" t="s">
        <v>1951</v>
      </c>
      <c r="C21" s="7" t="s">
        <v>467</v>
      </c>
      <c r="D21" s="30">
        <v>4901</v>
      </c>
      <c r="E21" s="46"/>
    </row>
    <row r="22" spans="1:5" ht="12.75" outlineLevel="2">
      <c r="A22" s="7" t="s">
        <v>455</v>
      </c>
      <c r="B22" s="29" t="s">
        <v>1951</v>
      </c>
      <c r="C22" s="7" t="s">
        <v>456</v>
      </c>
      <c r="D22" s="30">
        <v>6415</v>
      </c>
      <c r="E22" s="46"/>
    </row>
    <row r="23" spans="1:5" ht="12.75" outlineLevel="2">
      <c r="A23" s="7" t="s">
        <v>1697</v>
      </c>
      <c r="B23" s="29" t="s">
        <v>1952</v>
      </c>
      <c r="C23" s="7" t="s">
        <v>0</v>
      </c>
      <c r="D23" s="30">
        <v>347</v>
      </c>
      <c r="E23" s="46"/>
    </row>
    <row r="24" spans="1:5" ht="12.75" outlineLevel="2">
      <c r="A24" s="7" t="s">
        <v>12</v>
      </c>
      <c r="B24" s="29" t="s">
        <v>1952</v>
      </c>
      <c r="C24" s="7" t="s">
        <v>13</v>
      </c>
      <c r="D24" s="30">
        <v>1062</v>
      </c>
      <c r="E24" s="46"/>
    </row>
    <row r="25" spans="1:5" ht="12.75" outlineLevel="2">
      <c r="A25" s="7" t="s">
        <v>2379</v>
      </c>
      <c r="B25" s="29" t="s">
        <v>1952</v>
      </c>
      <c r="C25" s="7" t="s">
        <v>2375</v>
      </c>
      <c r="D25" s="30">
        <v>94.7</v>
      </c>
      <c r="E25" s="46"/>
    </row>
    <row r="26" spans="1:5" ht="12.75" outlineLevel="2">
      <c r="A26" s="7" t="s">
        <v>2282</v>
      </c>
      <c r="B26" s="29" t="s">
        <v>1952</v>
      </c>
      <c r="C26" s="7" t="s">
        <v>2200</v>
      </c>
      <c r="D26" s="30">
        <v>15.33</v>
      </c>
      <c r="E26" s="46"/>
    </row>
    <row r="27" spans="1:5" ht="12.75" outlineLevel="2">
      <c r="A27" s="7" t="s">
        <v>2297</v>
      </c>
      <c r="B27" s="29" t="s">
        <v>1953</v>
      </c>
      <c r="C27" s="7" t="s">
        <v>2300</v>
      </c>
      <c r="D27" s="30">
        <v>235</v>
      </c>
      <c r="E27" s="46"/>
    </row>
    <row r="28" spans="1:5" ht="12.75" outlineLevel="2">
      <c r="A28" s="7" t="s">
        <v>2097</v>
      </c>
      <c r="B28" s="29" t="s">
        <v>1953</v>
      </c>
      <c r="C28" s="7" t="s">
        <v>2303</v>
      </c>
      <c r="D28" s="30">
        <v>558</v>
      </c>
      <c r="E28" s="46"/>
    </row>
    <row r="29" spans="1:5" ht="12.75" outlineLevel="2">
      <c r="A29" s="7" t="s">
        <v>1332</v>
      </c>
      <c r="B29" s="29" t="s">
        <v>1953</v>
      </c>
      <c r="C29" s="7" t="s">
        <v>1328</v>
      </c>
      <c r="D29" s="30">
        <v>189.4</v>
      </c>
      <c r="E29" s="46"/>
    </row>
    <row r="30" spans="1:5" ht="12.75" outlineLevel="2">
      <c r="A30" s="7" t="s">
        <v>1327</v>
      </c>
      <c r="B30" s="29" t="s">
        <v>1953</v>
      </c>
      <c r="C30" s="7" t="s">
        <v>1328</v>
      </c>
      <c r="D30" s="30">
        <v>189.4</v>
      </c>
      <c r="E30" s="46"/>
    </row>
    <row r="31" spans="1:5" ht="12.75" outlineLevel="2">
      <c r="A31" s="7" t="s">
        <v>2305</v>
      </c>
      <c r="B31" s="29" t="s">
        <v>1953</v>
      </c>
      <c r="C31" s="7" t="s">
        <v>2306</v>
      </c>
      <c r="D31" s="30">
        <v>2453</v>
      </c>
      <c r="E31" s="46"/>
    </row>
    <row r="32" spans="1:5" ht="12.75" outlineLevel="2">
      <c r="A32" s="8" t="s">
        <v>1315</v>
      </c>
      <c r="B32" s="29" t="s">
        <v>1953</v>
      </c>
      <c r="C32" s="7" t="s">
        <v>2200</v>
      </c>
      <c r="D32" s="31">
        <v>38.31</v>
      </c>
      <c r="E32" s="46"/>
    </row>
    <row r="33" spans="1:5" ht="12.75" outlineLevel="2">
      <c r="A33" s="8" t="s">
        <v>2328</v>
      </c>
      <c r="B33" s="60" t="s">
        <v>1953</v>
      </c>
      <c r="C33" s="8" t="s">
        <v>2329</v>
      </c>
      <c r="D33" s="31">
        <v>76</v>
      </c>
      <c r="E33" s="46"/>
    </row>
    <row r="34" spans="1:5" ht="12.75" outlineLevel="2">
      <c r="A34" s="55" t="s">
        <v>2610</v>
      </c>
      <c r="B34" s="62" t="s">
        <v>1954</v>
      </c>
      <c r="C34" s="55" t="s">
        <v>2611</v>
      </c>
      <c r="D34" s="31">
        <v>1033</v>
      </c>
      <c r="E34" s="46"/>
    </row>
    <row r="35" spans="1:5" ht="12.75" outlineLevel="2">
      <c r="A35" s="55" t="s">
        <v>2625</v>
      </c>
      <c r="B35" s="62" t="s">
        <v>1954</v>
      </c>
      <c r="C35" s="55" t="s">
        <v>2626</v>
      </c>
      <c r="D35" s="31">
        <v>3839</v>
      </c>
      <c r="E35" s="46"/>
    </row>
    <row r="36" spans="1:5" ht="12.75" outlineLevel="2">
      <c r="A36" s="55" t="s">
        <v>2639</v>
      </c>
      <c r="B36" s="62" t="s">
        <v>1954</v>
      </c>
      <c r="C36" s="55" t="s">
        <v>2641</v>
      </c>
      <c r="D36" s="31">
        <v>465</v>
      </c>
      <c r="E36" s="46"/>
    </row>
    <row r="37" spans="1:5" ht="12.75" outlineLevel="2">
      <c r="A37" s="55" t="s">
        <v>1277</v>
      </c>
      <c r="B37" s="62" t="s">
        <v>1954</v>
      </c>
      <c r="C37" s="55" t="s">
        <v>1279</v>
      </c>
      <c r="D37" s="31">
        <v>3147</v>
      </c>
      <c r="E37" s="46"/>
    </row>
    <row r="38" spans="1:5" ht="12.75" outlineLevel="2">
      <c r="A38" s="8" t="s">
        <v>583</v>
      </c>
      <c r="B38" s="29" t="s">
        <v>1954</v>
      </c>
      <c r="C38" s="7" t="s">
        <v>2200</v>
      </c>
      <c r="D38" s="31">
        <v>137.94</v>
      </c>
      <c r="E38" s="46"/>
    </row>
    <row r="39" spans="1:5" ht="12.75" outlineLevel="2">
      <c r="A39" s="8" t="s">
        <v>2779</v>
      </c>
      <c r="B39" s="29" t="s">
        <v>1954</v>
      </c>
      <c r="C39" s="8" t="s">
        <v>1328</v>
      </c>
      <c r="D39" s="31">
        <v>189.4</v>
      </c>
      <c r="E39" s="46"/>
    </row>
    <row r="40" spans="1:5" ht="25.5" outlineLevel="2">
      <c r="A40" s="8" t="s">
        <v>174</v>
      </c>
      <c r="B40" s="29" t="s">
        <v>1955</v>
      </c>
      <c r="C40" s="8" t="s">
        <v>175</v>
      </c>
      <c r="D40" s="16">
        <v>3498</v>
      </c>
      <c r="E40" s="61"/>
    </row>
    <row r="41" spans="1:5" ht="25.5" outlineLevel="2">
      <c r="A41" s="8" t="s">
        <v>992</v>
      </c>
      <c r="B41" s="29" t="s">
        <v>1955</v>
      </c>
      <c r="C41" s="8" t="s">
        <v>993</v>
      </c>
      <c r="D41" s="16">
        <v>3456</v>
      </c>
      <c r="E41" s="61"/>
    </row>
    <row r="42" spans="1:5" ht="12.75" customHeight="1" outlineLevel="2">
      <c r="A42" s="7" t="s">
        <v>1037</v>
      </c>
      <c r="B42" s="7" t="s">
        <v>1955</v>
      </c>
      <c r="C42" s="51" t="s">
        <v>2252</v>
      </c>
      <c r="D42" s="16">
        <v>1552</v>
      </c>
      <c r="E42" s="61"/>
    </row>
    <row r="43" spans="1:5" ht="12.75" outlineLevel="2">
      <c r="A43" s="7" t="s">
        <v>431</v>
      </c>
      <c r="B43" s="7" t="s">
        <v>1955</v>
      </c>
      <c r="C43" s="7" t="s">
        <v>424</v>
      </c>
      <c r="D43" s="16">
        <v>5292</v>
      </c>
      <c r="E43" s="61"/>
    </row>
    <row r="44" spans="1:5" ht="12.75" outlineLevel="2">
      <c r="A44" s="7" t="s">
        <v>444</v>
      </c>
      <c r="B44" s="7" t="s">
        <v>1955</v>
      </c>
      <c r="C44" s="7" t="s">
        <v>445</v>
      </c>
      <c r="D44" s="16">
        <v>3957</v>
      </c>
      <c r="E44" s="61"/>
    </row>
    <row r="45" spans="1:5" ht="12.75" outlineLevel="2">
      <c r="A45" s="7" t="s">
        <v>1930</v>
      </c>
      <c r="B45" s="7" t="s">
        <v>1955</v>
      </c>
      <c r="C45" s="7" t="s">
        <v>424</v>
      </c>
      <c r="D45" s="16">
        <v>3791.67</v>
      </c>
      <c r="E45" s="61"/>
    </row>
    <row r="46" spans="1:5" ht="12.75" outlineLevel="2">
      <c r="A46" s="7" t="s">
        <v>2581</v>
      </c>
      <c r="B46" s="7" t="s">
        <v>1957</v>
      </c>
      <c r="C46" s="7" t="s">
        <v>2582</v>
      </c>
      <c r="D46" s="16">
        <v>15.33</v>
      </c>
      <c r="E46" s="61"/>
    </row>
    <row r="47" spans="1:5" ht="12.75" outlineLevel="2">
      <c r="A47" s="7" t="s">
        <v>2583</v>
      </c>
      <c r="B47" s="7" t="s">
        <v>1957</v>
      </c>
      <c r="C47" s="7" t="s">
        <v>2584</v>
      </c>
      <c r="D47" s="16">
        <v>38.32</v>
      </c>
      <c r="E47" s="61"/>
    </row>
    <row r="48" spans="1:5" ht="12.75" outlineLevel="2">
      <c r="A48" s="8" t="s">
        <v>2722</v>
      </c>
      <c r="B48" s="29" t="s">
        <v>1957</v>
      </c>
      <c r="C48" s="7" t="s">
        <v>2723</v>
      </c>
      <c r="D48" s="16">
        <v>2445</v>
      </c>
      <c r="E48" s="61"/>
    </row>
    <row r="49" spans="1:5" ht="12.75" outlineLevel="2">
      <c r="A49" s="7" t="s">
        <v>1217</v>
      </c>
      <c r="B49" s="7" t="s">
        <v>1957</v>
      </c>
      <c r="C49" s="7" t="s">
        <v>1218</v>
      </c>
      <c r="D49" s="16">
        <v>12946</v>
      </c>
      <c r="E49" s="61"/>
    </row>
    <row r="50" spans="1:5" ht="12.75" outlineLevel="2">
      <c r="A50" s="7" t="s">
        <v>316</v>
      </c>
      <c r="B50" s="7" t="s">
        <v>1958</v>
      </c>
      <c r="C50" s="7" t="s">
        <v>317</v>
      </c>
      <c r="D50" s="16">
        <v>371</v>
      </c>
      <c r="E50" s="61"/>
    </row>
    <row r="51" spans="1:5" ht="12.75" outlineLevel="2">
      <c r="A51" s="7" t="s">
        <v>322</v>
      </c>
      <c r="B51" s="7" t="s">
        <v>1958</v>
      </c>
      <c r="C51" s="7" t="s">
        <v>323</v>
      </c>
      <c r="D51" s="16">
        <v>2783</v>
      </c>
      <c r="E51" s="61"/>
    </row>
    <row r="52" spans="1:5" ht="12.75" outlineLevel="2">
      <c r="A52" s="7" t="s">
        <v>871</v>
      </c>
      <c r="B52" s="7" t="s">
        <v>1959</v>
      </c>
      <c r="C52" s="7" t="s">
        <v>2727</v>
      </c>
      <c r="D52" s="16">
        <v>1334.41</v>
      </c>
      <c r="E52" s="61"/>
    </row>
    <row r="53" spans="1:5" ht="12.75" outlineLevel="2">
      <c r="A53" s="8" t="s">
        <v>884</v>
      </c>
      <c r="B53" s="29" t="s">
        <v>1959</v>
      </c>
      <c r="C53" s="7" t="s">
        <v>885</v>
      </c>
      <c r="D53" s="16">
        <v>2615</v>
      </c>
      <c r="E53" s="61"/>
    </row>
    <row r="54" spans="1:5" ht="12.75" outlineLevel="2">
      <c r="A54" s="7" t="s">
        <v>2006</v>
      </c>
      <c r="B54" s="7" t="s">
        <v>1959</v>
      </c>
      <c r="C54" s="7" t="s">
        <v>2007</v>
      </c>
      <c r="D54" s="16">
        <v>3144</v>
      </c>
      <c r="E54" s="61"/>
    </row>
    <row r="55" spans="1:5" ht="12.75" outlineLevel="2">
      <c r="A55" s="7" t="s">
        <v>2034</v>
      </c>
      <c r="B55" s="7" t="s">
        <v>1960</v>
      </c>
      <c r="C55" s="7" t="s">
        <v>2035</v>
      </c>
      <c r="D55" s="16">
        <v>6098.75</v>
      </c>
      <c r="E55" s="61"/>
    </row>
    <row r="56" spans="1:5" ht="12.75" outlineLevel="2">
      <c r="A56" s="7" t="s">
        <v>796</v>
      </c>
      <c r="B56" s="7" t="s">
        <v>1960</v>
      </c>
      <c r="C56" s="7" t="s">
        <v>2737</v>
      </c>
      <c r="D56" s="16">
        <v>3795.71</v>
      </c>
      <c r="E56" s="61"/>
    </row>
    <row r="57" spans="1:5" ht="12.75" outlineLevel="2">
      <c r="A57" s="7" t="s">
        <v>797</v>
      </c>
      <c r="B57" s="7" t="s">
        <v>1960</v>
      </c>
      <c r="C57" s="7" t="s">
        <v>798</v>
      </c>
      <c r="D57" s="16">
        <v>7105.3</v>
      </c>
      <c r="E57" s="61"/>
    </row>
    <row r="58" spans="1:5" ht="12.75" outlineLevel="2">
      <c r="A58" s="7" t="s">
        <v>828</v>
      </c>
      <c r="B58" s="7" t="s">
        <v>1960</v>
      </c>
      <c r="C58" s="7" t="s">
        <v>829</v>
      </c>
      <c r="D58" s="16">
        <v>7030.62</v>
      </c>
      <c r="E58" s="61"/>
    </row>
    <row r="59" spans="1:5" ht="12.75" outlineLevel="2">
      <c r="A59" s="7" t="s">
        <v>284</v>
      </c>
      <c r="B59" s="7" t="s">
        <v>1960</v>
      </c>
      <c r="C59" s="7" t="s">
        <v>829</v>
      </c>
      <c r="D59" s="16">
        <v>477.78</v>
      </c>
      <c r="E59" s="61"/>
    </row>
    <row r="60" spans="1:5" ht="12.75" outlineLevel="2">
      <c r="A60" s="7" t="s">
        <v>182</v>
      </c>
      <c r="B60" s="7" t="s">
        <v>1960</v>
      </c>
      <c r="C60" s="7" t="s">
        <v>185</v>
      </c>
      <c r="D60" s="16">
        <v>858.73</v>
      </c>
      <c r="E60" s="61"/>
    </row>
    <row r="61" spans="1:5" ht="12.75" outlineLevel="2">
      <c r="A61" s="7" t="s">
        <v>330</v>
      </c>
      <c r="B61" s="7" t="s">
        <v>1960</v>
      </c>
      <c r="C61" s="7" t="s">
        <v>331</v>
      </c>
      <c r="D61" s="16">
        <v>7.66</v>
      </c>
      <c r="E61" s="61"/>
    </row>
    <row r="62" spans="1:5" ht="12.75" outlineLevel="2">
      <c r="A62" s="8" t="s">
        <v>948</v>
      </c>
      <c r="B62" s="29" t="s">
        <v>1960</v>
      </c>
      <c r="C62" s="7" t="s">
        <v>921</v>
      </c>
      <c r="D62" s="16">
        <v>4545.6</v>
      </c>
      <c r="E62" s="61"/>
    </row>
    <row r="63" spans="1:5" ht="12.75" outlineLevel="2">
      <c r="A63" s="51" t="s">
        <v>1490</v>
      </c>
      <c r="B63" s="51" t="s">
        <v>1961</v>
      </c>
      <c r="C63" s="51" t="s">
        <v>1491</v>
      </c>
      <c r="D63" s="16">
        <v>993</v>
      </c>
      <c r="E63" s="61"/>
    </row>
    <row r="64" spans="1:5" ht="12.75" outlineLevel="1">
      <c r="A64" s="111" t="s">
        <v>1340</v>
      </c>
      <c r="B64" s="112"/>
      <c r="C64" s="113"/>
      <c r="D64" s="32">
        <f>SUM(D65:D66)</f>
        <v>7608.49</v>
      </c>
      <c r="E64" s="46"/>
    </row>
    <row r="65" spans="1:5" ht="12.75" outlineLevel="2">
      <c r="A65" s="8" t="s">
        <v>1995</v>
      </c>
      <c r="B65" s="29" t="s">
        <v>1959</v>
      </c>
      <c r="C65" s="7" t="s">
        <v>1996</v>
      </c>
      <c r="D65" s="30">
        <v>6533.94</v>
      </c>
      <c r="E65" s="46"/>
    </row>
    <row r="66" spans="1:5" ht="12" customHeight="1" outlineLevel="2">
      <c r="A66" s="9" t="s">
        <v>2729</v>
      </c>
      <c r="B66" s="29" t="s">
        <v>1960</v>
      </c>
      <c r="C66" s="7" t="s">
        <v>2732</v>
      </c>
      <c r="D66" s="30">
        <v>1074.55</v>
      </c>
      <c r="E66" s="46"/>
    </row>
    <row r="67" spans="1:5" ht="12.75" outlineLevel="1">
      <c r="A67" s="117" t="s">
        <v>1342</v>
      </c>
      <c r="B67" s="118"/>
      <c r="C67" s="119"/>
      <c r="D67" s="28">
        <f>SUM(D68:D69)</f>
        <v>8189</v>
      </c>
      <c r="E67" s="46"/>
    </row>
    <row r="68" spans="1:5" ht="12.75" outlineLevel="2">
      <c r="A68" s="7" t="s">
        <v>653</v>
      </c>
      <c r="B68" s="29" t="s">
        <v>1951</v>
      </c>
      <c r="C68" s="7" t="s">
        <v>654</v>
      </c>
      <c r="D68" s="30">
        <v>2157</v>
      </c>
      <c r="E68" s="46"/>
    </row>
    <row r="69" spans="1:5" ht="12.75" outlineLevel="2">
      <c r="A69" s="83" t="s">
        <v>1613</v>
      </c>
      <c r="B69" s="29" t="s">
        <v>1953</v>
      </c>
      <c r="C69" s="7" t="s">
        <v>2457</v>
      </c>
      <c r="D69" s="30">
        <v>6032</v>
      </c>
      <c r="E69" s="46"/>
    </row>
    <row r="70" spans="1:5" ht="12.75" outlineLevel="1">
      <c r="A70" s="117" t="s">
        <v>1344</v>
      </c>
      <c r="B70" s="118"/>
      <c r="C70" s="119"/>
      <c r="D70" s="28">
        <f>SUM(D71:D82)</f>
        <v>151329.78000000003</v>
      </c>
      <c r="E70" s="46"/>
    </row>
    <row r="71" spans="1:5" ht="12.75" outlineLevel="2">
      <c r="A71" s="7"/>
      <c r="B71" s="29" t="s">
        <v>849</v>
      </c>
      <c r="C71" s="7" t="s">
        <v>1966</v>
      </c>
      <c r="D71" s="30">
        <f>2824.17+2466.68+1465.71+3467.65+1501.46+929.47</f>
        <v>12655.140000000001</v>
      </c>
      <c r="E71" s="46"/>
    </row>
    <row r="72" spans="1:5" ht="12.75" outlineLevel="2">
      <c r="A72" s="7"/>
      <c r="B72" s="29" t="s">
        <v>1951</v>
      </c>
      <c r="C72" s="7" t="s">
        <v>1966</v>
      </c>
      <c r="D72" s="30">
        <f>2824.17+2466.68+1465.71+3467.65+1501.46+929.47</f>
        <v>12655.140000000001</v>
      </c>
      <c r="E72" s="46"/>
    </row>
    <row r="73" spans="1:5" ht="12.75" outlineLevel="2">
      <c r="A73" s="7"/>
      <c r="B73" s="29" t="s">
        <v>1952</v>
      </c>
      <c r="C73" s="7" t="s">
        <v>1966</v>
      </c>
      <c r="D73" s="30">
        <f>2824.17+2446.68+1465.71+3467.65+1501.46+929.47+214.49</f>
        <v>12849.630000000001</v>
      </c>
      <c r="E73" s="46"/>
    </row>
    <row r="74" spans="1:5" ht="12.75" outlineLevel="2">
      <c r="A74" s="7"/>
      <c r="B74" s="29" t="s">
        <v>1953</v>
      </c>
      <c r="C74" s="7" t="s">
        <v>1966</v>
      </c>
      <c r="D74" s="30">
        <f>2824.17+2180.69+3749.36+1086.77+706.4+214.49</f>
        <v>10761.880000000001</v>
      </c>
      <c r="E74" s="46"/>
    </row>
    <row r="75" spans="1:5" ht="12.75" outlineLevel="2">
      <c r="A75" s="7"/>
      <c r="B75" s="29" t="s">
        <v>1954</v>
      </c>
      <c r="C75" s="7" t="s">
        <v>1966</v>
      </c>
      <c r="D75" s="30">
        <f>2824.17+1894.7+4861.86+1322.71+893.73+214.49</f>
        <v>12011.659999999998</v>
      </c>
      <c r="E75" s="46"/>
    </row>
    <row r="76" spans="1:5" ht="12.75" outlineLevel="2">
      <c r="A76" s="7"/>
      <c r="B76" s="29" t="s">
        <v>1955</v>
      </c>
      <c r="C76" s="7" t="s">
        <v>1966</v>
      </c>
      <c r="D76" s="30">
        <f>1412.09+947.35+2466.68+661.36+446.86</f>
        <v>5934.339999999999</v>
      </c>
      <c r="E76" s="46"/>
    </row>
    <row r="77" spans="1:5" ht="12.75" outlineLevel="2">
      <c r="A77" s="7"/>
      <c r="B77" s="29" t="s">
        <v>1956</v>
      </c>
      <c r="C77" s="7" t="s">
        <v>1966</v>
      </c>
      <c r="D77" s="30">
        <f>3145.91+2109.19+5505.35+1465.71+1000.97</f>
        <v>13227.13</v>
      </c>
      <c r="E77" s="46"/>
    </row>
    <row r="78" spans="1:5" ht="12.75" outlineLevel="2">
      <c r="A78" s="7"/>
      <c r="B78" s="29" t="s">
        <v>1957</v>
      </c>
      <c r="C78" s="7" t="s">
        <v>1966</v>
      </c>
      <c r="D78" s="30">
        <f>3145.91+2109.19+5505.35+1465.71+1000.97+4504.37</f>
        <v>17731.5</v>
      </c>
      <c r="E78" s="46"/>
    </row>
    <row r="79" spans="1:5" ht="12.75" outlineLevel="2">
      <c r="A79" s="7"/>
      <c r="B79" s="29" t="s">
        <v>1958</v>
      </c>
      <c r="C79" s="7" t="s">
        <v>1966</v>
      </c>
      <c r="D79" s="30">
        <f>3145.91+2109.19+5505.35+1465.71+1000.97</f>
        <v>13227.13</v>
      </c>
      <c r="E79" s="46"/>
    </row>
    <row r="80" spans="1:5" ht="12.75" outlineLevel="2">
      <c r="A80" s="7"/>
      <c r="B80" s="29" t="s">
        <v>1959</v>
      </c>
      <c r="C80" s="7" t="s">
        <v>1966</v>
      </c>
      <c r="D80" s="30">
        <f>3145.91+2109.19+5505.35+1465.71+430.42</f>
        <v>12656.58</v>
      </c>
      <c r="E80" s="46"/>
    </row>
    <row r="81" spans="1:5" ht="12.75" outlineLevel="2">
      <c r="A81" s="7"/>
      <c r="B81" s="29" t="s">
        <v>1960</v>
      </c>
      <c r="C81" s="7" t="s">
        <v>1966</v>
      </c>
      <c r="D81" s="30">
        <f>3145.91+2752.67+1644.45+3860.89+1680.2+1000.97</f>
        <v>14085.09</v>
      </c>
      <c r="E81" s="46"/>
    </row>
    <row r="82" spans="1:5" ht="12.75" outlineLevel="2">
      <c r="A82" s="11"/>
      <c r="B82" s="29" t="s">
        <v>1961</v>
      </c>
      <c r="C82" s="7" t="s">
        <v>1966</v>
      </c>
      <c r="D82" s="30">
        <f>3145.91+2202.14+1644.45+3860.89+1680.2+1000.97</f>
        <v>13534.56</v>
      </c>
      <c r="E82" s="46"/>
    </row>
    <row r="83" spans="1:5" ht="12.75" outlineLevel="1">
      <c r="A83" s="117" t="s">
        <v>1346</v>
      </c>
      <c r="B83" s="118"/>
      <c r="C83" s="119"/>
      <c r="D83" s="28">
        <f>SUM(D84:D95)</f>
        <v>19266.120000000003</v>
      </c>
      <c r="E83" s="46"/>
    </row>
    <row r="84" spans="1:5" ht="12.75" outlineLevel="2">
      <c r="A84" s="7" t="s">
        <v>1711</v>
      </c>
      <c r="B84" s="29" t="s">
        <v>849</v>
      </c>
      <c r="C84" s="7" t="s">
        <v>1714</v>
      </c>
      <c r="D84" s="30">
        <v>760</v>
      </c>
      <c r="E84" s="46"/>
    </row>
    <row r="85" spans="1:5" ht="12.75" outlineLevel="2">
      <c r="A85" s="51" t="s">
        <v>2202</v>
      </c>
      <c r="B85" s="52" t="s">
        <v>849</v>
      </c>
      <c r="C85" s="51" t="s">
        <v>2200</v>
      </c>
      <c r="D85" s="30">
        <v>213.07</v>
      </c>
      <c r="E85" s="46"/>
    </row>
    <row r="86" spans="1:5" ht="12.75" outlineLevel="2">
      <c r="A86" s="7" t="s">
        <v>2367</v>
      </c>
      <c r="B86" s="29" t="s">
        <v>1952</v>
      </c>
      <c r="C86" s="7" t="s">
        <v>2368</v>
      </c>
      <c r="D86" s="30">
        <v>468</v>
      </c>
      <c r="E86" s="46"/>
    </row>
    <row r="87" spans="1:5" ht="12.75" outlineLevel="2">
      <c r="A87" s="7" t="s">
        <v>2371</v>
      </c>
      <c r="B87" s="29" t="s">
        <v>1952</v>
      </c>
      <c r="C87" s="7" t="s">
        <v>2372</v>
      </c>
      <c r="D87" s="30">
        <v>365.04</v>
      </c>
      <c r="E87" s="46"/>
    </row>
    <row r="88" spans="1:5" ht="12.75" outlineLevel="2">
      <c r="A88" s="7" t="s">
        <v>2383</v>
      </c>
      <c r="B88" s="29" t="s">
        <v>1952</v>
      </c>
      <c r="C88" s="7" t="s">
        <v>2056</v>
      </c>
      <c r="D88" s="30">
        <v>12000</v>
      </c>
      <c r="E88" s="46"/>
    </row>
    <row r="89" spans="1:5" ht="12.75" outlineLevel="2">
      <c r="A89" s="51" t="s">
        <v>2251</v>
      </c>
      <c r="B89" s="29" t="s">
        <v>1952</v>
      </c>
      <c r="C89" s="7" t="s">
        <v>2393</v>
      </c>
      <c r="D89" s="30">
        <v>400</v>
      </c>
      <c r="E89" s="46"/>
    </row>
    <row r="90" spans="1:5" ht="12.75" outlineLevel="2">
      <c r="A90" s="51" t="s">
        <v>2251</v>
      </c>
      <c r="B90" s="29" t="s">
        <v>1952</v>
      </c>
      <c r="C90" s="7" t="s">
        <v>2394</v>
      </c>
      <c r="D90" s="30">
        <v>39</v>
      </c>
      <c r="E90" s="46"/>
    </row>
    <row r="91" spans="1:5" ht="12.75" outlineLevel="2">
      <c r="A91" s="51" t="s">
        <v>2251</v>
      </c>
      <c r="B91" s="29" t="s">
        <v>1952</v>
      </c>
      <c r="C91" s="7" t="s">
        <v>2390</v>
      </c>
      <c r="D91" s="30">
        <v>311.11</v>
      </c>
      <c r="E91" s="46"/>
    </row>
    <row r="92" spans="1:5" ht="12.75" outlineLevel="2">
      <c r="A92" s="7" t="s">
        <v>2566</v>
      </c>
      <c r="B92" s="29" t="s">
        <v>1957</v>
      </c>
      <c r="C92" s="7" t="s">
        <v>2568</v>
      </c>
      <c r="D92" s="30">
        <v>1996</v>
      </c>
      <c r="E92" s="46"/>
    </row>
    <row r="93" spans="1:5" ht="12.75" outlineLevel="2">
      <c r="A93" s="7" t="s">
        <v>1790</v>
      </c>
      <c r="B93" s="29" t="s">
        <v>1958</v>
      </c>
      <c r="C93" s="7" t="s">
        <v>646</v>
      </c>
      <c r="D93" s="30"/>
      <c r="E93" s="46"/>
    </row>
    <row r="94" spans="1:5" ht="12.75" outlineLevel="2">
      <c r="A94" s="51" t="s">
        <v>220</v>
      </c>
      <c r="B94" s="52" t="s">
        <v>1961</v>
      </c>
      <c r="C94" s="51" t="s">
        <v>221</v>
      </c>
      <c r="D94" s="30">
        <v>713.9</v>
      </c>
      <c r="E94" s="46"/>
    </row>
    <row r="95" spans="1:5" ht="12.75" outlineLevel="2">
      <c r="A95" s="51" t="s">
        <v>1418</v>
      </c>
      <c r="B95" s="52" t="s">
        <v>1961</v>
      </c>
      <c r="C95" s="51" t="s">
        <v>1419</v>
      </c>
      <c r="D95" s="30">
        <v>2000</v>
      </c>
      <c r="E95" s="46"/>
    </row>
    <row r="96" spans="1:5" ht="12.75" outlineLevel="1">
      <c r="A96" s="117" t="s">
        <v>1341</v>
      </c>
      <c r="B96" s="118"/>
      <c r="C96" s="119"/>
      <c r="D96" s="28">
        <f>SUM(D97:D105)</f>
        <v>6560.6900000000005</v>
      </c>
      <c r="E96" s="46"/>
    </row>
    <row r="97" spans="1:5" ht="12.75" outlineLevel="2">
      <c r="A97" s="7" t="s">
        <v>132</v>
      </c>
      <c r="B97" s="29" t="s">
        <v>849</v>
      </c>
      <c r="C97" s="7" t="s">
        <v>133</v>
      </c>
      <c r="D97" s="30">
        <v>876</v>
      </c>
      <c r="E97" s="46"/>
    </row>
    <row r="98" spans="1:5" ht="12.75" outlineLevel="2">
      <c r="A98" s="7" t="s">
        <v>1733</v>
      </c>
      <c r="B98" s="29" t="s">
        <v>849</v>
      </c>
      <c r="C98" s="7" t="s">
        <v>1734</v>
      </c>
      <c r="D98" s="30">
        <v>1446</v>
      </c>
      <c r="E98" s="46"/>
    </row>
    <row r="99" spans="1:5" ht="12.75" outlineLevel="2">
      <c r="A99" s="7" t="s">
        <v>1784</v>
      </c>
      <c r="B99" s="29" t="s">
        <v>849</v>
      </c>
      <c r="C99" s="7" t="s">
        <v>1783</v>
      </c>
      <c r="D99" s="30">
        <v>357</v>
      </c>
      <c r="E99" s="46"/>
    </row>
    <row r="100" spans="1:5" ht="12.75" outlineLevel="2">
      <c r="A100" s="7" t="s">
        <v>309</v>
      </c>
      <c r="B100" s="29" t="s">
        <v>1951</v>
      </c>
      <c r="C100" s="7" t="s">
        <v>310</v>
      </c>
      <c r="D100" s="30">
        <v>296</v>
      </c>
      <c r="E100" s="46"/>
    </row>
    <row r="101" spans="1:5" ht="12.75" outlineLevel="2">
      <c r="A101" s="7" t="s">
        <v>533</v>
      </c>
      <c r="B101" s="29" t="s">
        <v>1952</v>
      </c>
      <c r="C101" s="7" t="s">
        <v>534</v>
      </c>
      <c r="D101" s="30">
        <v>1219</v>
      </c>
      <c r="E101" s="46"/>
    </row>
    <row r="102" spans="1:5" ht="12.75" outlineLevel="2">
      <c r="A102" s="7" t="s">
        <v>2281</v>
      </c>
      <c r="B102" s="29" t="s">
        <v>1952</v>
      </c>
      <c r="C102" s="7" t="s">
        <v>666</v>
      </c>
      <c r="D102" s="30">
        <v>7.66</v>
      </c>
      <c r="E102" s="46"/>
    </row>
    <row r="103" spans="1:5" ht="12.75" outlineLevel="2">
      <c r="A103" s="7" t="s">
        <v>2540</v>
      </c>
      <c r="B103" s="29" t="s">
        <v>1953</v>
      </c>
      <c r="C103" s="7" t="s">
        <v>2541</v>
      </c>
      <c r="D103" s="30">
        <v>226</v>
      </c>
      <c r="E103" s="46"/>
    </row>
    <row r="104" spans="1:5" ht="12.75" outlineLevel="2">
      <c r="A104" s="7" t="s">
        <v>96</v>
      </c>
      <c r="B104" s="29" t="s">
        <v>1960</v>
      </c>
      <c r="C104" s="7" t="s">
        <v>97</v>
      </c>
      <c r="D104" s="30">
        <v>303.43</v>
      </c>
      <c r="E104" s="46"/>
    </row>
    <row r="105" spans="1:5" ht="12.75" outlineLevel="2">
      <c r="A105" s="7" t="s">
        <v>240</v>
      </c>
      <c r="B105" s="29" t="s">
        <v>1960</v>
      </c>
      <c r="C105" s="7" t="s">
        <v>241</v>
      </c>
      <c r="D105" s="30">
        <v>1829.6</v>
      </c>
      <c r="E105" s="46"/>
    </row>
    <row r="106" spans="1:5" ht="12.75" outlineLevel="1">
      <c r="A106" s="117" t="s">
        <v>1347</v>
      </c>
      <c r="B106" s="118"/>
      <c r="C106" s="119"/>
      <c r="D106" s="28">
        <f>SUM(D107:D107)</f>
        <v>8110.740000000001</v>
      </c>
      <c r="E106" s="46"/>
    </row>
    <row r="107" spans="1:5" ht="12.75" outlineLevel="2">
      <c r="A107" s="11"/>
      <c r="B107" s="29"/>
      <c r="C107" s="7" t="s">
        <v>239</v>
      </c>
      <c r="D107" s="30">
        <f>1099.22+7011.52</f>
        <v>8110.740000000001</v>
      </c>
      <c r="E107" s="46"/>
    </row>
    <row r="108" spans="1:6" ht="12.75">
      <c r="A108" s="6">
        <v>3472.4</v>
      </c>
      <c r="B108" s="6" t="s">
        <v>1356</v>
      </c>
      <c r="C108" s="37" t="s">
        <v>1345</v>
      </c>
      <c r="D108" s="23">
        <f>(3472.4*6*1.46)+(3472.4*6*1.63)</f>
        <v>64378.296</v>
      </c>
      <c r="E108" s="46"/>
      <c r="F108" s="37" t="s">
        <v>1352</v>
      </c>
    </row>
    <row r="109" spans="1:6" ht="13.5" thickBot="1">
      <c r="A109" s="6">
        <v>3472.4</v>
      </c>
      <c r="B109" s="6" t="s">
        <v>1356</v>
      </c>
      <c r="C109" s="37" t="s">
        <v>1357</v>
      </c>
      <c r="D109" s="23">
        <f>(3472.4*6*0.1)+(3472.4*6*0.11)</f>
        <v>4375.224</v>
      </c>
      <c r="E109" s="46"/>
      <c r="F109" s="37" t="s">
        <v>1351</v>
      </c>
    </row>
    <row r="110" spans="1:6" ht="12.75" customHeight="1" thickTop="1">
      <c r="A110" s="132" t="s">
        <v>1361</v>
      </c>
      <c r="B110" s="133"/>
      <c r="C110" s="134"/>
      <c r="D110" s="76">
        <f>(3472.4*6*0.94)+(3472.4*6*1.03)</f>
        <v>41043.768</v>
      </c>
      <c r="E110" s="48"/>
      <c r="F110" s="14" t="s">
        <v>787</v>
      </c>
    </row>
    <row r="111" spans="1:6" ht="12.75" customHeight="1">
      <c r="A111" s="125" t="s">
        <v>1350</v>
      </c>
      <c r="B111" s="126"/>
      <c r="C111" s="127"/>
      <c r="D111" s="76">
        <f>(3472.4*6*1.57)+(3472.4*6*1.75)</f>
        <v>69170.20800000001</v>
      </c>
      <c r="E111" s="48"/>
      <c r="F111" s="14" t="s">
        <v>788</v>
      </c>
    </row>
    <row r="112" spans="1:6" ht="12.75" customHeight="1">
      <c r="A112" s="125" t="s">
        <v>1362</v>
      </c>
      <c r="B112" s="126"/>
      <c r="C112" s="127"/>
      <c r="D112" s="16">
        <f>10.3*(D114+D115)/100</f>
        <v>98049.99097999999</v>
      </c>
      <c r="E112" s="48"/>
      <c r="F112" s="14" t="s">
        <v>789</v>
      </c>
    </row>
    <row r="113" spans="1:6" ht="12.75" customHeight="1">
      <c r="A113" s="120" t="s">
        <v>1363</v>
      </c>
      <c r="B113" s="121"/>
      <c r="C113" s="122"/>
      <c r="D113" s="41">
        <f>D112+D111+D110+D12</f>
        <v>509346.44698</v>
      </c>
      <c r="E113" s="48">
        <v>1</v>
      </c>
      <c r="F113" s="14" t="s">
        <v>790</v>
      </c>
    </row>
    <row r="114" spans="1:6" ht="12.75" customHeight="1">
      <c r="A114" s="114" t="s">
        <v>1364</v>
      </c>
      <c r="B114" s="115"/>
      <c r="C114" s="116"/>
      <c r="D114" s="18">
        <v>836401.95</v>
      </c>
      <c r="E114" s="48">
        <v>2</v>
      </c>
      <c r="F114" s="27"/>
    </row>
    <row r="115" spans="1:6" ht="12.75" customHeight="1">
      <c r="A115" s="114" t="s">
        <v>1365</v>
      </c>
      <c r="B115" s="115"/>
      <c r="C115" s="116"/>
      <c r="D115" s="18">
        <v>115539.71</v>
      </c>
      <c r="E115" s="48">
        <v>3</v>
      </c>
      <c r="F115" s="37" t="s">
        <v>1352</v>
      </c>
    </row>
    <row r="116" spans="1:6" ht="12.75" customHeight="1">
      <c r="A116" s="114" t="s">
        <v>2221</v>
      </c>
      <c r="B116" s="115"/>
      <c r="C116" s="116"/>
      <c r="D116" s="19">
        <f>961241.71+D114+D117+D118+D119</f>
        <v>1902313.89</v>
      </c>
      <c r="E116" s="48">
        <v>4</v>
      </c>
      <c r="F116" s="37" t="s">
        <v>791</v>
      </c>
    </row>
    <row r="117" spans="1:6" ht="25.5" customHeight="1">
      <c r="A117" s="114" t="s">
        <v>603</v>
      </c>
      <c r="B117" s="115"/>
      <c r="C117" s="116"/>
      <c r="D117" s="19">
        <v>18167.25</v>
      </c>
      <c r="E117" s="48"/>
      <c r="F117" s="37"/>
    </row>
    <row r="118" spans="1:6" ht="25.5" customHeight="1">
      <c r="A118" s="114" t="s">
        <v>605</v>
      </c>
      <c r="B118" s="115"/>
      <c r="C118" s="116"/>
      <c r="D118" s="19">
        <v>69574.25</v>
      </c>
      <c r="E118" s="48"/>
      <c r="F118" s="37"/>
    </row>
    <row r="119" spans="1:6" ht="25.5" customHeight="1">
      <c r="A119" s="114" t="s">
        <v>641</v>
      </c>
      <c r="B119" s="115"/>
      <c r="C119" s="116"/>
      <c r="D119" s="19">
        <v>16928.73</v>
      </c>
      <c r="E119" s="48"/>
      <c r="F119" s="37"/>
    </row>
    <row r="120" spans="1:6" ht="13.5" customHeight="1">
      <c r="A120" s="114" t="s">
        <v>602</v>
      </c>
      <c r="B120" s="115"/>
      <c r="C120" s="116"/>
      <c r="D120" s="19">
        <f>787862.09+D128+D122+D121+D123</f>
        <v>1644789.67</v>
      </c>
      <c r="E120" s="48">
        <v>5</v>
      </c>
      <c r="F120" s="14" t="s">
        <v>843</v>
      </c>
    </row>
    <row r="121" spans="1:6" ht="27.75" customHeight="1">
      <c r="A121" s="114" t="s">
        <v>606</v>
      </c>
      <c r="B121" s="115"/>
      <c r="C121" s="116"/>
      <c r="D121" s="19">
        <v>64000.79</v>
      </c>
      <c r="E121" s="48"/>
      <c r="F121" s="14"/>
    </row>
    <row r="122" spans="1:6" ht="13.5" customHeight="1">
      <c r="A122" s="114" t="s">
        <v>604</v>
      </c>
      <c r="B122" s="115"/>
      <c r="C122" s="116"/>
      <c r="D122" s="19">
        <v>16993.94</v>
      </c>
      <c r="E122" s="48"/>
      <c r="F122" s="14"/>
    </row>
    <row r="123" spans="1:6" ht="24.75" customHeight="1">
      <c r="A123" s="114" t="s">
        <v>642</v>
      </c>
      <c r="B123" s="115"/>
      <c r="C123" s="116"/>
      <c r="D123" s="19">
        <v>12091.95</v>
      </c>
      <c r="E123" s="48"/>
      <c r="F123" s="14"/>
    </row>
    <row r="124" spans="1:6" ht="25.5" customHeight="1">
      <c r="A124" s="120" t="s">
        <v>2223</v>
      </c>
      <c r="B124" s="121"/>
      <c r="C124" s="122"/>
      <c r="D124" s="42">
        <f>720271.73+D113</f>
        <v>1229618.17698</v>
      </c>
      <c r="E124" s="48">
        <v>6</v>
      </c>
      <c r="F124" s="14" t="s">
        <v>844</v>
      </c>
    </row>
    <row r="125" spans="1:6" ht="12.75" customHeight="1">
      <c r="A125" s="114" t="s">
        <v>2224</v>
      </c>
      <c r="B125" s="115"/>
      <c r="C125" s="116"/>
      <c r="D125" s="19">
        <f>132763.6+D115</f>
        <v>248303.31</v>
      </c>
      <c r="E125" s="48">
        <v>7</v>
      </c>
      <c r="F125" s="14" t="s">
        <v>845</v>
      </c>
    </row>
    <row r="126" spans="1:6" ht="12.75" customHeight="1">
      <c r="A126" s="114" t="s">
        <v>2225</v>
      </c>
      <c r="B126" s="115"/>
      <c r="C126" s="116"/>
      <c r="D126" s="19">
        <f>108755+D129</f>
        <v>214271.2</v>
      </c>
      <c r="E126" s="48">
        <v>8</v>
      </c>
      <c r="F126" s="14" t="s">
        <v>787</v>
      </c>
    </row>
    <row r="127" spans="1:6" ht="12.75" customHeight="1">
      <c r="A127" s="120" t="s">
        <v>2226</v>
      </c>
      <c r="B127" s="121"/>
      <c r="C127" s="122"/>
      <c r="D127" s="42">
        <v>0</v>
      </c>
      <c r="E127" s="48">
        <v>9</v>
      </c>
      <c r="F127" s="14" t="s">
        <v>846</v>
      </c>
    </row>
    <row r="128" spans="1:6" ht="12.75" customHeight="1">
      <c r="A128" s="114" t="s">
        <v>779</v>
      </c>
      <c r="B128" s="115"/>
      <c r="C128" s="116"/>
      <c r="D128" s="18">
        <v>763840.9</v>
      </c>
      <c r="E128" s="48">
        <v>10</v>
      </c>
      <c r="F128" s="14" t="s">
        <v>847</v>
      </c>
    </row>
    <row r="129" spans="1:6" ht="12.75" customHeight="1">
      <c r="A129" s="114" t="s">
        <v>780</v>
      </c>
      <c r="B129" s="115"/>
      <c r="C129" s="116"/>
      <c r="D129" s="18">
        <v>105516.2</v>
      </c>
      <c r="E129" s="48">
        <v>11</v>
      </c>
      <c r="F129" s="14" t="s">
        <v>848</v>
      </c>
    </row>
    <row r="130" spans="1:6" ht="12.75" customHeight="1">
      <c r="A130" s="120" t="s">
        <v>781</v>
      </c>
      <c r="B130" s="121"/>
      <c r="C130" s="122"/>
      <c r="D130" s="41">
        <v>0</v>
      </c>
      <c r="E130" s="48">
        <v>12</v>
      </c>
      <c r="F130" s="43"/>
    </row>
    <row r="131" spans="1:6" ht="27" customHeight="1">
      <c r="A131" s="108" t="s">
        <v>782</v>
      </c>
      <c r="B131" s="109"/>
      <c r="C131" s="110"/>
      <c r="D131" s="26">
        <f>D116-D124</f>
        <v>672695.7130199999</v>
      </c>
      <c r="E131" s="48">
        <v>13</v>
      </c>
      <c r="F131" s="43"/>
    </row>
    <row r="132" spans="1:6" ht="25.5" customHeight="1">
      <c r="A132" s="108" t="s">
        <v>783</v>
      </c>
      <c r="B132" s="109"/>
      <c r="C132" s="110"/>
      <c r="D132" s="26">
        <f>D125-D127</f>
        <v>248303.31</v>
      </c>
      <c r="E132" s="48">
        <v>14</v>
      </c>
      <c r="F132" s="43"/>
    </row>
    <row r="133" spans="1:6" ht="25.5" customHeight="1">
      <c r="A133" s="108" t="s">
        <v>784</v>
      </c>
      <c r="B133" s="109"/>
      <c r="C133" s="110"/>
      <c r="D133" s="26">
        <f>D120-D124</f>
        <v>415171.49301999994</v>
      </c>
      <c r="E133" s="48">
        <v>15</v>
      </c>
      <c r="F133" s="43"/>
    </row>
    <row r="134" ht="12.75">
      <c r="F134" s="43"/>
    </row>
  </sheetData>
  <sheetProtection/>
  <mergeCells count="37">
    <mergeCell ref="A13:C13"/>
    <mergeCell ref="A96:C96"/>
    <mergeCell ref="A117:C117"/>
    <mergeCell ref="A122:C122"/>
    <mergeCell ref="A118:C118"/>
    <mergeCell ref="A121:C121"/>
    <mergeCell ref="A119:C119"/>
    <mergeCell ref="A112:C112"/>
    <mergeCell ref="A113:C113"/>
    <mergeCell ref="A111:C111"/>
    <mergeCell ref="A123:C123"/>
    <mergeCell ref="A64:C64"/>
    <mergeCell ref="A67:C67"/>
    <mergeCell ref="A3:C3"/>
    <mergeCell ref="A4:C4"/>
    <mergeCell ref="A8:C8"/>
    <mergeCell ref="A10:C10"/>
    <mergeCell ref="A12:C12"/>
    <mergeCell ref="A83:C83"/>
    <mergeCell ref="A114:C114"/>
    <mergeCell ref="A1:D1"/>
    <mergeCell ref="A132:C132"/>
    <mergeCell ref="A116:C116"/>
    <mergeCell ref="A124:C124"/>
    <mergeCell ref="A125:C125"/>
    <mergeCell ref="A110:C110"/>
    <mergeCell ref="A115:C115"/>
    <mergeCell ref="A120:C120"/>
    <mergeCell ref="A70:C70"/>
    <mergeCell ref="A106:C106"/>
    <mergeCell ref="A133:C133"/>
    <mergeCell ref="A126:C126"/>
    <mergeCell ref="A127:C127"/>
    <mergeCell ref="A128:C128"/>
    <mergeCell ref="A129:C129"/>
    <mergeCell ref="A130:C130"/>
    <mergeCell ref="A131:C131"/>
  </mergeCells>
  <printOptions/>
  <pageMargins left="0.23" right="0.7" top="0.75" bottom="0.75" header="0.3" footer="0.3"/>
  <pageSetup horizontalDpi="600" verticalDpi="600" orientation="portrait" paperSize="9" r:id="rId1"/>
  <ignoredErrors>
    <ignoredError sqref="D78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66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8.5" customHeight="1" thickBot="1">
      <c r="A1" s="135" t="s">
        <v>1615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D4+D23+D26+D39+D43+D45+D46</f>
        <v>139127.21999999997</v>
      </c>
      <c r="E3" s="45"/>
    </row>
    <row r="4" spans="1:5" ht="13.5" outlineLevel="1" thickTop="1">
      <c r="A4" s="111" t="s">
        <v>1354</v>
      </c>
      <c r="B4" s="112"/>
      <c r="C4" s="113"/>
      <c r="D4" s="28">
        <f>SUM(D5:D22)</f>
        <v>42715.409999999996</v>
      </c>
      <c r="E4" s="46"/>
    </row>
    <row r="5" spans="1:5" ht="12.75" outlineLevel="2">
      <c r="A5" s="7" t="s">
        <v>1934</v>
      </c>
      <c r="B5" s="29" t="s">
        <v>849</v>
      </c>
      <c r="C5" s="7" t="s">
        <v>1935</v>
      </c>
      <c r="D5" s="30">
        <v>729</v>
      </c>
      <c r="E5" s="46"/>
    </row>
    <row r="6" spans="1:5" ht="12.75" outlineLevel="2">
      <c r="A6" s="7" t="s">
        <v>2379</v>
      </c>
      <c r="B6" s="29" t="s">
        <v>1952</v>
      </c>
      <c r="C6" s="7" t="s">
        <v>2375</v>
      </c>
      <c r="D6" s="30">
        <v>94.7</v>
      </c>
      <c r="E6" s="46"/>
    </row>
    <row r="7" spans="1:5" ht="12.75" outlineLevel="2">
      <c r="A7" s="7" t="s">
        <v>1333</v>
      </c>
      <c r="B7" s="29" t="s">
        <v>1953</v>
      </c>
      <c r="C7" s="7" t="s">
        <v>1334</v>
      </c>
      <c r="D7" s="30">
        <v>189.4</v>
      </c>
      <c r="E7" s="46"/>
    </row>
    <row r="8" spans="1:5" ht="12.75" outlineLevel="2">
      <c r="A8" s="51" t="s">
        <v>2631</v>
      </c>
      <c r="B8" s="52" t="s">
        <v>1954</v>
      </c>
      <c r="C8" s="51" t="s">
        <v>2632</v>
      </c>
      <c r="D8" s="30">
        <v>1932</v>
      </c>
      <c r="E8" s="46"/>
    </row>
    <row r="9" spans="1:5" ht="12.75" outlineLevel="2">
      <c r="A9" s="8" t="s">
        <v>584</v>
      </c>
      <c r="B9" s="29" t="s">
        <v>1954</v>
      </c>
      <c r="C9" s="7" t="s">
        <v>559</v>
      </c>
      <c r="D9" s="30">
        <v>46.13</v>
      </c>
      <c r="E9" s="46"/>
    </row>
    <row r="10" spans="1:5" ht="12.75" outlineLevel="2">
      <c r="A10" s="8" t="s">
        <v>2780</v>
      </c>
      <c r="B10" s="29" t="s">
        <v>1954</v>
      </c>
      <c r="C10" s="8" t="s">
        <v>1328</v>
      </c>
      <c r="D10" s="31">
        <v>189.4</v>
      </c>
      <c r="E10" s="46"/>
    </row>
    <row r="11" spans="1:5" ht="25.5" outlineLevel="2">
      <c r="A11" s="7" t="s">
        <v>996</v>
      </c>
      <c r="B11" s="29" t="s">
        <v>1955</v>
      </c>
      <c r="C11" s="7" t="s">
        <v>997</v>
      </c>
      <c r="D11" s="30">
        <v>2276</v>
      </c>
      <c r="E11" s="46"/>
    </row>
    <row r="12" spans="1:5" ht="12.75" outlineLevel="2">
      <c r="A12" s="7" t="s">
        <v>432</v>
      </c>
      <c r="B12" s="29" t="s">
        <v>1955</v>
      </c>
      <c r="C12" s="7" t="s">
        <v>424</v>
      </c>
      <c r="D12" s="30">
        <v>5292</v>
      </c>
      <c r="E12" s="46"/>
    </row>
    <row r="13" spans="1:5" ht="12.75" outlineLevel="2">
      <c r="A13" s="7" t="s">
        <v>1930</v>
      </c>
      <c r="B13" s="29" t="s">
        <v>1955</v>
      </c>
      <c r="C13" s="7" t="s">
        <v>424</v>
      </c>
      <c r="D13" s="30">
        <v>3190.29</v>
      </c>
      <c r="E13" s="46"/>
    </row>
    <row r="14" spans="1:5" ht="12.75" outlineLevel="2">
      <c r="A14" s="7" t="s">
        <v>1207</v>
      </c>
      <c r="B14" s="29" t="s">
        <v>1957</v>
      </c>
      <c r="C14" s="7" t="s">
        <v>1208</v>
      </c>
      <c r="D14" s="30">
        <v>19122</v>
      </c>
      <c r="E14" s="46"/>
    </row>
    <row r="15" spans="1:5" ht="12.75" outlineLevel="2">
      <c r="A15" s="8" t="s">
        <v>1217</v>
      </c>
      <c r="B15" s="29" t="s">
        <v>1957</v>
      </c>
      <c r="C15" s="7" t="s">
        <v>645</v>
      </c>
      <c r="D15" s="30">
        <v>797</v>
      </c>
      <c r="E15" s="46"/>
    </row>
    <row r="16" spans="1:5" ht="12.75" outlineLevel="2">
      <c r="A16" s="8" t="s">
        <v>871</v>
      </c>
      <c r="B16" s="29" t="s">
        <v>1959</v>
      </c>
      <c r="C16" s="7" t="s">
        <v>2727</v>
      </c>
      <c r="D16" s="30">
        <v>1334.41</v>
      </c>
      <c r="E16" s="46"/>
    </row>
    <row r="17" spans="1:5" ht="12.75" outlineLevel="2">
      <c r="A17" s="7" t="s">
        <v>2045</v>
      </c>
      <c r="B17" s="29" t="s">
        <v>1960</v>
      </c>
      <c r="C17" s="7" t="s">
        <v>396</v>
      </c>
      <c r="D17" s="30">
        <v>214.45</v>
      </c>
      <c r="E17" s="46"/>
    </row>
    <row r="18" spans="1:5" ht="12.75" outlineLevel="2">
      <c r="A18" s="7" t="s">
        <v>823</v>
      </c>
      <c r="B18" s="29" t="s">
        <v>1960</v>
      </c>
      <c r="C18" s="7" t="s">
        <v>396</v>
      </c>
      <c r="D18" s="30">
        <v>644</v>
      </c>
      <c r="E18" s="46"/>
    </row>
    <row r="19" spans="1:5" ht="12.75" outlineLevel="2">
      <c r="A19" s="7" t="s">
        <v>182</v>
      </c>
      <c r="B19" s="29" t="s">
        <v>1960</v>
      </c>
      <c r="C19" s="7" t="s">
        <v>187</v>
      </c>
      <c r="D19" s="30">
        <v>1288.25</v>
      </c>
      <c r="E19" s="46"/>
    </row>
    <row r="20" spans="1:5" ht="12.75" outlineLevel="2">
      <c r="A20" s="8" t="s">
        <v>191</v>
      </c>
      <c r="B20" s="29" t="s">
        <v>1960</v>
      </c>
      <c r="C20" s="7" t="s">
        <v>192</v>
      </c>
      <c r="D20" s="31">
        <v>510.78</v>
      </c>
      <c r="E20" s="46"/>
    </row>
    <row r="21" spans="1:5" ht="12.75" outlineLevel="2">
      <c r="A21" s="8" t="s">
        <v>949</v>
      </c>
      <c r="B21" s="29" t="s">
        <v>1960</v>
      </c>
      <c r="C21" s="7" t="s">
        <v>924</v>
      </c>
      <c r="D21" s="31">
        <v>4545.6</v>
      </c>
      <c r="E21" s="46"/>
    </row>
    <row r="22" spans="1:5" ht="12.75" outlineLevel="2">
      <c r="A22" s="55" t="s">
        <v>1466</v>
      </c>
      <c r="B22" s="52" t="s">
        <v>1961</v>
      </c>
      <c r="C22" s="51" t="s">
        <v>1467</v>
      </c>
      <c r="D22" s="31">
        <v>320</v>
      </c>
      <c r="E22" s="46"/>
    </row>
    <row r="23" spans="1:5" ht="12.75" outlineLevel="1">
      <c r="A23" s="117" t="s">
        <v>1342</v>
      </c>
      <c r="B23" s="118"/>
      <c r="C23" s="119"/>
      <c r="D23" s="28">
        <f>SUM(D24:D25)</f>
        <v>10974</v>
      </c>
      <c r="E23" s="46"/>
    </row>
    <row r="24" spans="1:5" ht="12.75" outlineLevel="2">
      <c r="A24" s="7" t="s">
        <v>1290</v>
      </c>
      <c r="B24" s="29" t="s">
        <v>1953</v>
      </c>
      <c r="C24" s="7" t="s">
        <v>1291</v>
      </c>
      <c r="D24" s="30">
        <v>3066</v>
      </c>
      <c r="E24" s="46"/>
    </row>
    <row r="25" spans="1:5" ht="12.75" outlineLevel="2">
      <c r="A25" s="7" t="s">
        <v>1024</v>
      </c>
      <c r="B25" s="29" t="s">
        <v>1955</v>
      </c>
      <c r="C25" s="7" t="s">
        <v>1021</v>
      </c>
      <c r="D25" s="30">
        <v>7908</v>
      </c>
      <c r="E25" s="46"/>
    </row>
    <row r="26" spans="1:5" ht="12.75" outlineLevel="1">
      <c r="A26" s="117" t="s">
        <v>1344</v>
      </c>
      <c r="B26" s="118"/>
      <c r="C26" s="119"/>
      <c r="D26" s="28">
        <f>SUM(D27:D38)</f>
        <v>55044.01</v>
      </c>
      <c r="E26" s="46"/>
    </row>
    <row r="27" spans="1:5" ht="12.75" outlineLevel="2">
      <c r="A27" s="7"/>
      <c r="B27" s="29" t="s">
        <v>849</v>
      </c>
      <c r="C27" s="7" t="s">
        <v>1950</v>
      </c>
      <c r="D27" s="30">
        <f>1042.41+910.46+541+1279.92+554.19+343.07</f>
        <v>4671.049999999999</v>
      </c>
      <c r="E27" s="46"/>
    </row>
    <row r="28" spans="1:5" ht="12.75" outlineLevel="2">
      <c r="A28" s="7"/>
      <c r="B28" s="29" t="s">
        <v>1951</v>
      </c>
      <c r="C28" s="7" t="s">
        <v>1950</v>
      </c>
      <c r="D28" s="30">
        <f>990.28+728.36+541+1279.92+554.19+343.07</f>
        <v>4436.82</v>
      </c>
      <c r="E28" s="46"/>
    </row>
    <row r="29" spans="1:5" ht="12.75" outlineLevel="2">
      <c r="A29" s="7"/>
      <c r="B29" s="29" t="s">
        <v>1952</v>
      </c>
      <c r="C29" s="7" t="s">
        <v>1950</v>
      </c>
      <c r="D29" s="30">
        <f>1042.41+910.46+541+1279.92+554.19+343.07+79.17</f>
        <v>4750.219999999999</v>
      </c>
      <c r="E29" s="46"/>
    </row>
    <row r="30" spans="1:5" ht="12.75" outlineLevel="2">
      <c r="A30" s="7"/>
      <c r="B30" s="29" t="s">
        <v>1953</v>
      </c>
      <c r="C30" s="7" t="s">
        <v>1950</v>
      </c>
      <c r="D30" s="30">
        <f>1042.41+804.9+1383.89+401.13+343.07+79.17</f>
        <v>4054.57</v>
      </c>
      <c r="E30" s="46"/>
    </row>
    <row r="31" spans="1:5" ht="12.75" outlineLevel="2">
      <c r="A31" s="7"/>
      <c r="B31" s="29" t="s">
        <v>1954</v>
      </c>
      <c r="C31" s="7" t="s">
        <v>1950</v>
      </c>
      <c r="D31" s="30">
        <f>1042.41+699.34+1794.52+488.22+329.88+79.17</f>
        <v>4433.54</v>
      </c>
      <c r="E31" s="46"/>
    </row>
    <row r="32" spans="1:5" ht="12.75" outlineLevel="2">
      <c r="A32" s="7"/>
      <c r="B32" s="29" t="s">
        <v>1955</v>
      </c>
      <c r="C32" s="7" t="s">
        <v>1950</v>
      </c>
      <c r="D32" s="30">
        <f>910.46+244.11+164.94</f>
        <v>1319.5100000000002</v>
      </c>
      <c r="E32" s="46"/>
    </row>
    <row r="33" spans="1:5" ht="12.75" outlineLevel="2">
      <c r="A33" s="7"/>
      <c r="B33" s="29" t="s">
        <v>1956</v>
      </c>
      <c r="C33" s="7" t="s">
        <v>1950</v>
      </c>
      <c r="D33" s="30">
        <f>1161.16+778.51+2032.03+541+369.46+1662.57</f>
        <v>6544.73</v>
      </c>
      <c r="E33" s="46"/>
    </row>
    <row r="34" spans="1:5" ht="12.75" outlineLevel="2">
      <c r="A34" s="7"/>
      <c r="B34" s="29" t="s">
        <v>1957</v>
      </c>
      <c r="C34" s="7" t="s">
        <v>1950</v>
      </c>
      <c r="D34" s="30">
        <f>1161.16+778.51+2032.03+541+369.46</f>
        <v>4882.16</v>
      </c>
      <c r="E34" s="46"/>
    </row>
    <row r="35" spans="1:5" ht="12.75" outlineLevel="2">
      <c r="A35" s="7"/>
      <c r="B35" s="29" t="s">
        <v>1958</v>
      </c>
      <c r="C35" s="7" t="s">
        <v>1950</v>
      </c>
      <c r="D35" s="30">
        <f>1161.16+778.51+2032.03+541+369.46</f>
        <v>4882.16</v>
      </c>
      <c r="E35" s="46"/>
    </row>
    <row r="36" spans="1:5" ht="12.75" outlineLevel="2">
      <c r="A36" s="7"/>
      <c r="B36" s="29" t="s">
        <v>1959</v>
      </c>
      <c r="C36" s="7" t="s">
        <v>1950</v>
      </c>
      <c r="D36" s="30">
        <f>1161.16+778.51+2032.03+541+158.87</f>
        <v>4671.57</v>
      </c>
      <c r="E36" s="46"/>
    </row>
    <row r="37" spans="1:5" ht="12.75" outlineLevel="2">
      <c r="A37" s="7"/>
      <c r="B37" s="29" t="s">
        <v>1960</v>
      </c>
      <c r="C37" s="7" t="s">
        <v>1950</v>
      </c>
      <c r="D37" s="30">
        <f>1161.16+1016.02+606.97+1425.06+620.17+369.46</f>
        <v>5198.840000000001</v>
      </c>
      <c r="E37" s="46"/>
    </row>
    <row r="38" spans="1:5" ht="12.75" outlineLevel="2">
      <c r="A38" s="11"/>
      <c r="B38" s="29" t="s">
        <v>1961</v>
      </c>
      <c r="C38" s="7" t="s">
        <v>1950</v>
      </c>
      <c r="D38" s="30">
        <f>1161.16+1016.02+606.97+1425.06+620.17+369.46</f>
        <v>5198.840000000001</v>
      </c>
      <c r="E38" s="46"/>
    </row>
    <row r="39" spans="1:5" ht="12.75" outlineLevel="1">
      <c r="A39" s="117" t="s">
        <v>1346</v>
      </c>
      <c r="B39" s="118"/>
      <c r="C39" s="119"/>
      <c r="D39" s="28">
        <f>SUM(D40:D42)</f>
        <v>1660.84</v>
      </c>
      <c r="E39" s="46"/>
    </row>
    <row r="40" spans="1:5" ht="12.75" outlineLevel="2">
      <c r="A40" s="7" t="s">
        <v>2566</v>
      </c>
      <c r="B40" s="29" t="s">
        <v>1957</v>
      </c>
      <c r="C40" s="7" t="s">
        <v>2567</v>
      </c>
      <c r="D40" s="30">
        <v>1360</v>
      </c>
      <c r="E40" s="46"/>
    </row>
    <row r="41" spans="1:5" ht="12.75" outlineLevel="2">
      <c r="A41" s="7" t="s">
        <v>1788</v>
      </c>
      <c r="B41" s="29" t="s">
        <v>1958</v>
      </c>
      <c r="C41" s="7" t="s">
        <v>2567</v>
      </c>
      <c r="D41" s="30">
        <v>184</v>
      </c>
      <c r="E41" s="46"/>
    </row>
    <row r="42" spans="1:5" ht="12.75" outlineLevel="2">
      <c r="A42" s="7" t="s">
        <v>1797</v>
      </c>
      <c r="B42" s="29" t="s">
        <v>1958</v>
      </c>
      <c r="C42" s="7" t="s">
        <v>1798</v>
      </c>
      <c r="D42" s="30">
        <v>116.84</v>
      </c>
      <c r="E42" s="46"/>
    </row>
    <row r="43" spans="1:5" ht="12.75" outlineLevel="1">
      <c r="A43" s="117" t="s">
        <v>1341</v>
      </c>
      <c r="B43" s="118"/>
      <c r="C43" s="119"/>
      <c r="D43" s="28">
        <f>SUM(D44:D44)</f>
        <v>2593</v>
      </c>
      <c r="E43" s="46"/>
    </row>
    <row r="44" spans="1:5" ht="12.75" outlineLevel="2">
      <c r="A44" s="7" t="s">
        <v>533</v>
      </c>
      <c r="B44" s="29" t="s">
        <v>1952</v>
      </c>
      <c r="C44" s="51" t="s">
        <v>2253</v>
      </c>
      <c r="D44" s="30">
        <v>2593</v>
      </c>
      <c r="E44" s="46"/>
    </row>
    <row r="45" spans="1:6" ht="12.75">
      <c r="A45" s="6">
        <v>1320.2</v>
      </c>
      <c r="B45" s="6" t="s">
        <v>1356</v>
      </c>
      <c r="C45" s="37" t="s">
        <v>1345</v>
      </c>
      <c r="D45" s="23">
        <f>(1320.2*6*1.46)+(1320.2*6*1.63)</f>
        <v>24476.508</v>
      </c>
      <c r="E45" s="46"/>
      <c r="F45" s="37" t="s">
        <v>1352</v>
      </c>
    </row>
    <row r="46" spans="1:6" ht="13.5" thickBot="1">
      <c r="A46" s="6">
        <v>1320.2</v>
      </c>
      <c r="B46" s="6" t="s">
        <v>1356</v>
      </c>
      <c r="C46" s="37" t="s">
        <v>1357</v>
      </c>
      <c r="D46" s="23">
        <f>(1320.2*6*0.1)+(1320.2*6*0.11)</f>
        <v>1663.4520000000002</v>
      </c>
      <c r="E46" s="46"/>
      <c r="F46" s="37" t="s">
        <v>1351</v>
      </c>
    </row>
    <row r="47" spans="1:6" ht="12.75" customHeight="1" thickTop="1">
      <c r="A47" s="132" t="s">
        <v>1361</v>
      </c>
      <c r="B47" s="133"/>
      <c r="C47" s="134"/>
      <c r="D47" s="67">
        <f>(1320.2*6*0.94)+(1320.2*6*1.03)</f>
        <v>15604.764000000001</v>
      </c>
      <c r="E47" s="48"/>
      <c r="F47" s="14" t="s">
        <v>787</v>
      </c>
    </row>
    <row r="48" spans="1:6" ht="12.75" customHeight="1">
      <c r="A48" s="125" t="s">
        <v>1350</v>
      </c>
      <c r="B48" s="126"/>
      <c r="C48" s="127"/>
      <c r="D48" s="67">
        <f>(1320.2*6*1.57)+(1320.2*6*1.75)</f>
        <v>26298.384000000005</v>
      </c>
      <c r="E48" s="48"/>
      <c r="F48" s="14" t="s">
        <v>788</v>
      </c>
    </row>
    <row r="49" spans="1:6" ht="12.75" customHeight="1">
      <c r="A49" s="125" t="s">
        <v>1362</v>
      </c>
      <c r="B49" s="126"/>
      <c r="C49" s="127"/>
      <c r="D49" s="16">
        <f>10.3*(D51+D52)/100</f>
        <v>44372.81921</v>
      </c>
      <c r="E49" s="48"/>
      <c r="F49" s="14" t="s">
        <v>789</v>
      </c>
    </row>
    <row r="50" spans="1:6" ht="12.75" customHeight="1">
      <c r="A50" s="120" t="s">
        <v>1363</v>
      </c>
      <c r="B50" s="121"/>
      <c r="C50" s="122"/>
      <c r="D50" s="41">
        <f>D49+D48+D47+D3</f>
        <v>225403.18720999997</v>
      </c>
      <c r="E50" s="48">
        <v>1</v>
      </c>
      <c r="F50" s="14" t="s">
        <v>790</v>
      </c>
    </row>
    <row r="51" spans="1:6" ht="12.75" customHeight="1">
      <c r="A51" s="114" t="s">
        <v>1364</v>
      </c>
      <c r="B51" s="115"/>
      <c r="C51" s="116"/>
      <c r="D51" s="18">
        <v>315264.36</v>
      </c>
      <c r="E51" s="48">
        <v>2</v>
      </c>
      <c r="F51" s="27"/>
    </row>
    <row r="52" spans="1:6" ht="12.75" customHeight="1">
      <c r="A52" s="114" t="s">
        <v>1365</v>
      </c>
      <c r="B52" s="115"/>
      <c r="C52" s="116"/>
      <c r="D52" s="18">
        <v>115539.71</v>
      </c>
      <c r="E52" s="48">
        <v>3</v>
      </c>
      <c r="F52" s="37" t="s">
        <v>1352</v>
      </c>
    </row>
    <row r="53" spans="1:6" ht="12.75" customHeight="1">
      <c r="A53" s="114" t="s">
        <v>2221</v>
      </c>
      <c r="B53" s="115"/>
      <c r="C53" s="116"/>
      <c r="D53" s="19">
        <f>354900.85+D51+D54</f>
        <v>696900.61</v>
      </c>
      <c r="E53" s="48">
        <v>4</v>
      </c>
      <c r="F53" s="37" t="s">
        <v>791</v>
      </c>
    </row>
    <row r="54" spans="1:6" ht="27" customHeight="1">
      <c r="A54" s="114" t="s">
        <v>631</v>
      </c>
      <c r="B54" s="115"/>
      <c r="C54" s="116"/>
      <c r="D54" s="19">
        <v>26735.4</v>
      </c>
      <c r="E54" s="48"/>
      <c r="F54" s="37"/>
    </row>
    <row r="55" spans="1:6" ht="13.5" customHeight="1">
      <c r="A55" s="114" t="s">
        <v>2222</v>
      </c>
      <c r="B55" s="115"/>
      <c r="C55" s="116"/>
      <c r="D55" s="19">
        <f>297938.82+D61+D56</f>
        <v>650009.54</v>
      </c>
      <c r="E55" s="48">
        <v>5</v>
      </c>
      <c r="F55" s="14" t="s">
        <v>843</v>
      </c>
    </row>
    <row r="56" spans="1:6" ht="25.5" customHeight="1">
      <c r="A56" s="114" t="s">
        <v>632</v>
      </c>
      <c r="B56" s="115"/>
      <c r="C56" s="116"/>
      <c r="D56" s="19">
        <v>26735.4</v>
      </c>
      <c r="E56" s="48"/>
      <c r="F56" s="14"/>
    </row>
    <row r="57" spans="1:6" ht="25.5" customHeight="1">
      <c r="A57" s="120" t="s">
        <v>2223</v>
      </c>
      <c r="B57" s="121"/>
      <c r="C57" s="122"/>
      <c r="D57" s="42">
        <f>344822.81+D50</f>
        <v>570225.99721</v>
      </c>
      <c r="E57" s="48">
        <v>6</v>
      </c>
      <c r="F57" s="14" t="s">
        <v>844</v>
      </c>
    </row>
    <row r="58" spans="1:6" ht="12.75" customHeight="1">
      <c r="A58" s="114" t="s">
        <v>2224</v>
      </c>
      <c r="B58" s="115"/>
      <c r="C58" s="116"/>
      <c r="D58" s="19">
        <f>49017.93+D52</f>
        <v>164557.64</v>
      </c>
      <c r="E58" s="48">
        <v>7</v>
      </c>
      <c r="F58" s="14" t="s">
        <v>845</v>
      </c>
    </row>
    <row r="59" spans="1:6" ht="12.75" customHeight="1">
      <c r="A59" s="114" t="s">
        <v>2225</v>
      </c>
      <c r="B59" s="115"/>
      <c r="C59" s="116"/>
      <c r="D59" s="19">
        <f>41134.37+D62</f>
        <v>146650.57</v>
      </c>
      <c r="E59" s="48">
        <v>8</v>
      </c>
      <c r="F59" s="14" t="s">
        <v>787</v>
      </c>
    </row>
    <row r="60" spans="1:6" ht="12.75" customHeight="1">
      <c r="A60" s="120" t="s">
        <v>2226</v>
      </c>
      <c r="B60" s="121"/>
      <c r="C60" s="122"/>
      <c r="D60" s="42">
        <v>0</v>
      </c>
      <c r="E60" s="48">
        <v>9</v>
      </c>
      <c r="F60" s="14" t="s">
        <v>846</v>
      </c>
    </row>
    <row r="61" spans="1:6" ht="12.75" customHeight="1">
      <c r="A61" s="114" t="s">
        <v>779</v>
      </c>
      <c r="B61" s="115"/>
      <c r="C61" s="116"/>
      <c r="D61" s="18">
        <v>325335.32</v>
      </c>
      <c r="E61" s="48">
        <v>10</v>
      </c>
      <c r="F61" s="14" t="s">
        <v>847</v>
      </c>
    </row>
    <row r="62" spans="1:6" ht="12.75" customHeight="1">
      <c r="A62" s="114" t="s">
        <v>780</v>
      </c>
      <c r="B62" s="115"/>
      <c r="C62" s="116"/>
      <c r="D62" s="18">
        <v>105516.2</v>
      </c>
      <c r="E62" s="48">
        <v>11</v>
      </c>
      <c r="F62" s="14" t="s">
        <v>848</v>
      </c>
    </row>
    <row r="63" spans="1:6" ht="12.75" customHeight="1">
      <c r="A63" s="120" t="s">
        <v>781</v>
      </c>
      <c r="B63" s="121"/>
      <c r="C63" s="122"/>
      <c r="D63" s="41">
        <v>0</v>
      </c>
      <c r="E63" s="48">
        <v>12</v>
      </c>
      <c r="F63" s="43"/>
    </row>
    <row r="64" spans="1:6" ht="27" customHeight="1">
      <c r="A64" s="108" t="s">
        <v>782</v>
      </c>
      <c r="B64" s="109"/>
      <c r="C64" s="110"/>
      <c r="D64" s="26">
        <f>D53-D57</f>
        <v>126674.61279000004</v>
      </c>
      <c r="E64" s="48">
        <v>13</v>
      </c>
      <c r="F64" s="43"/>
    </row>
    <row r="65" spans="1:6" ht="25.5" customHeight="1">
      <c r="A65" s="108" t="s">
        <v>783</v>
      </c>
      <c r="B65" s="109"/>
      <c r="C65" s="110"/>
      <c r="D65" s="26">
        <f>D58-D60</f>
        <v>164557.64</v>
      </c>
      <c r="E65" s="48">
        <v>14</v>
      </c>
      <c r="F65" s="43"/>
    </row>
    <row r="66" spans="1:6" ht="25.5" customHeight="1">
      <c r="A66" s="108" t="s">
        <v>784</v>
      </c>
      <c r="B66" s="109"/>
      <c r="C66" s="110"/>
      <c r="D66" s="26">
        <f>D55-D57</f>
        <v>79783.5427900001</v>
      </c>
      <c r="E66" s="48">
        <v>15</v>
      </c>
      <c r="F66" s="43"/>
    </row>
    <row r="67" ht="12.75">
      <c r="F67" s="43"/>
    </row>
  </sheetData>
  <sheetProtection/>
  <mergeCells count="27">
    <mergeCell ref="A57:C57"/>
    <mergeCell ref="A58:C58"/>
    <mergeCell ref="A47:C47"/>
    <mergeCell ref="A48:C48"/>
    <mergeCell ref="A49:C49"/>
    <mergeCell ref="A50:C50"/>
    <mergeCell ref="A51:C51"/>
    <mergeCell ref="A52:C52"/>
    <mergeCell ref="A55:C55"/>
    <mergeCell ref="A53:C53"/>
    <mergeCell ref="A26:C26"/>
    <mergeCell ref="A39:C39"/>
    <mergeCell ref="A43:C43"/>
    <mergeCell ref="A1:D1"/>
    <mergeCell ref="A23:C23"/>
    <mergeCell ref="A3:C3"/>
    <mergeCell ref="A4:C4"/>
    <mergeCell ref="A54:C54"/>
    <mergeCell ref="A65:C65"/>
    <mergeCell ref="A66:C66"/>
    <mergeCell ref="A59:C59"/>
    <mergeCell ref="A60:C60"/>
    <mergeCell ref="A61:C61"/>
    <mergeCell ref="A62:C62"/>
    <mergeCell ref="A63:C63"/>
    <mergeCell ref="A64:C64"/>
    <mergeCell ref="A56:C56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2" sqref="A1:D72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6.25" customHeight="1" thickBot="1">
      <c r="A1" s="135" t="s">
        <v>1616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264478</v>
      </c>
      <c r="E3" s="45"/>
    </row>
    <row r="4" spans="1:5" ht="12.75" outlineLevel="1">
      <c r="A4" s="117" t="s">
        <v>1355</v>
      </c>
      <c r="B4" s="118"/>
      <c r="C4" s="119"/>
      <c r="D4" s="28">
        <f>SUM(D5:D5)</f>
        <v>264478</v>
      </c>
      <c r="E4" s="46"/>
    </row>
    <row r="5" spans="1:5" ht="12.75" outlineLevel="2">
      <c r="A5" s="51" t="s">
        <v>87</v>
      </c>
      <c r="B5" s="52" t="s">
        <v>1959</v>
      </c>
      <c r="C5" s="63" t="s">
        <v>88</v>
      </c>
      <c r="D5" s="30">
        <v>264478</v>
      </c>
      <c r="E5" s="46"/>
    </row>
    <row r="6" spans="1:5" ht="13.5" customHeight="1" thickBot="1">
      <c r="A6" s="124" t="s">
        <v>1343</v>
      </c>
      <c r="B6" s="124"/>
      <c r="C6" s="124"/>
      <c r="D6" s="25">
        <f>D7+D32+D35+D48+D51+D53+D54</f>
        <v>158991.66</v>
      </c>
      <c r="E6" s="45"/>
    </row>
    <row r="7" spans="1:5" ht="13.5" outlineLevel="1" thickTop="1">
      <c r="A7" s="111" t="s">
        <v>1354</v>
      </c>
      <c r="B7" s="112"/>
      <c r="C7" s="113"/>
      <c r="D7" s="28">
        <f>SUM(D8:D31)</f>
        <v>47363.86</v>
      </c>
      <c r="E7" s="46"/>
    </row>
    <row r="8" spans="1:5" ht="12.75" outlineLevel="2">
      <c r="A8" s="7" t="s">
        <v>1166</v>
      </c>
      <c r="B8" s="29" t="s">
        <v>849</v>
      </c>
      <c r="C8" s="7" t="s">
        <v>1167</v>
      </c>
      <c r="D8" s="30">
        <v>118</v>
      </c>
      <c r="E8" s="46"/>
    </row>
    <row r="9" spans="1:5" ht="12.75" outlineLevel="2">
      <c r="A9" s="7" t="s">
        <v>234</v>
      </c>
      <c r="B9" s="29" t="s">
        <v>1951</v>
      </c>
      <c r="C9" s="7" t="s">
        <v>235</v>
      </c>
      <c r="D9" s="30">
        <v>7876</v>
      </c>
      <c r="E9" s="46"/>
    </row>
    <row r="10" spans="1:5" ht="12.75" outlineLevel="2">
      <c r="A10" s="7" t="s">
        <v>2379</v>
      </c>
      <c r="B10" s="29" t="s">
        <v>1952</v>
      </c>
      <c r="C10" s="7" t="s">
        <v>2375</v>
      </c>
      <c r="D10" s="30">
        <v>94.7</v>
      </c>
      <c r="E10" s="46"/>
    </row>
    <row r="11" spans="1:5" ht="12.75" outlineLevel="2">
      <c r="A11" s="7" t="s">
        <v>2305</v>
      </c>
      <c r="B11" s="29" t="s">
        <v>1953</v>
      </c>
      <c r="C11" s="7" t="s">
        <v>2307</v>
      </c>
      <c r="D11" s="30">
        <v>4280</v>
      </c>
      <c r="E11" s="46"/>
    </row>
    <row r="12" spans="1:5" ht="12.75" outlineLevel="2">
      <c r="A12" s="7" t="s">
        <v>2315</v>
      </c>
      <c r="B12" s="29" t="s">
        <v>1953</v>
      </c>
      <c r="C12" s="7" t="s">
        <v>2320</v>
      </c>
      <c r="D12" s="30">
        <v>397</v>
      </c>
      <c r="E12" s="46"/>
    </row>
    <row r="13" spans="1:5" ht="12.75" outlineLevel="2">
      <c r="A13" s="7" t="s">
        <v>1329</v>
      </c>
      <c r="B13" s="29" t="s">
        <v>1953</v>
      </c>
      <c r="C13" s="7" t="s">
        <v>1328</v>
      </c>
      <c r="D13" s="30">
        <v>189.4</v>
      </c>
      <c r="E13" s="46"/>
    </row>
    <row r="14" spans="1:5" ht="12.75" outlineLevel="2">
      <c r="A14" s="51" t="s">
        <v>2639</v>
      </c>
      <c r="B14" s="52" t="s">
        <v>1954</v>
      </c>
      <c r="C14" s="51" t="s">
        <v>2640</v>
      </c>
      <c r="D14" s="30">
        <v>325</v>
      </c>
      <c r="E14" s="46"/>
    </row>
    <row r="15" spans="1:5" ht="12.75" outlineLevel="2">
      <c r="A15" s="8" t="s">
        <v>564</v>
      </c>
      <c r="B15" s="29" t="s">
        <v>1954</v>
      </c>
      <c r="C15" s="7" t="s">
        <v>2801</v>
      </c>
      <c r="D15" s="30">
        <f>46.43+189.4</f>
        <v>235.83</v>
      </c>
      <c r="E15" s="46"/>
    </row>
    <row r="16" spans="1:5" ht="25.5" outlineLevel="2">
      <c r="A16" s="7" t="s">
        <v>996</v>
      </c>
      <c r="B16" s="29" t="s">
        <v>1955</v>
      </c>
      <c r="C16" s="7" t="s">
        <v>998</v>
      </c>
      <c r="D16" s="30">
        <v>2800</v>
      </c>
      <c r="E16" s="46"/>
    </row>
    <row r="17" spans="1:5" ht="12.75" outlineLevel="2">
      <c r="A17" s="7" t="s">
        <v>433</v>
      </c>
      <c r="B17" s="29" t="s">
        <v>1955</v>
      </c>
      <c r="C17" s="7" t="s">
        <v>424</v>
      </c>
      <c r="D17" s="30">
        <v>5292</v>
      </c>
      <c r="E17" s="46"/>
    </row>
    <row r="18" spans="1:5" ht="12.75" outlineLevel="2">
      <c r="A18" s="7" t="s">
        <v>1930</v>
      </c>
      <c r="B18" s="29" t="s">
        <v>1955</v>
      </c>
      <c r="C18" s="7" t="s">
        <v>424</v>
      </c>
      <c r="D18" s="30">
        <v>3144.65</v>
      </c>
      <c r="E18" s="46"/>
    </row>
    <row r="19" spans="1:5" ht="12.75" outlineLevel="2">
      <c r="A19" s="8" t="s">
        <v>2722</v>
      </c>
      <c r="B19" s="29" t="s">
        <v>1957</v>
      </c>
      <c r="C19" s="7" t="s">
        <v>1186</v>
      </c>
      <c r="D19" s="30">
        <v>3210</v>
      </c>
      <c r="E19" s="46"/>
    </row>
    <row r="20" spans="1:5" ht="12.75" outlineLevel="2">
      <c r="A20" s="8" t="s">
        <v>1209</v>
      </c>
      <c r="B20" s="29" t="s">
        <v>1957</v>
      </c>
      <c r="C20" s="7" t="s">
        <v>1210</v>
      </c>
      <c r="D20" s="31">
        <v>8928</v>
      </c>
      <c r="E20" s="46"/>
    </row>
    <row r="21" spans="1:5" ht="12.75" outlineLevel="2">
      <c r="A21" s="8" t="s">
        <v>2127</v>
      </c>
      <c r="B21" s="29" t="s">
        <v>1959</v>
      </c>
      <c r="C21" s="7" t="s">
        <v>2128</v>
      </c>
      <c r="D21" s="31">
        <v>250.1</v>
      </c>
      <c r="E21" s="46"/>
    </row>
    <row r="22" spans="1:5" ht="12.75" outlineLevel="2">
      <c r="A22" s="8" t="s">
        <v>871</v>
      </c>
      <c r="B22" s="29" t="s">
        <v>1959</v>
      </c>
      <c r="C22" s="7" t="s">
        <v>2727</v>
      </c>
      <c r="D22" s="30">
        <v>1334.41</v>
      </c>
      <c r="E22" s="46"/>
    </row>
    <row r="23" spans="1:5" ht="12.75" outlineLevel="2">
      <c r="A23" s="8" t="s">
        <v>2735</v>
      </c>
      <c r="B23" s="29" t="s">
        <v>1960</v>
      </c>
      <c r="C23" s="7" t="s">
        <v>2736</v>
      </c>
      <c r="D23" s="31">
        <v>1334.54</v>
      </c>
      <c r="E23" s="46"/>
    </row>
    <row r="24" spans="1:5" ht="12.75" outlineLevel="2">
      <c r="A24" s="8" t="s">
        <v>826</v>
      </c>
      <c r="B24" s="29" t="s">
        <v>1960</v>
      </c>
      <c r="C24" s="7" t="s">
        <v>827</v>
      </c>
      <c r="D24" s="31">
        <v>2131</v>
      </c>
      <c r="E24" s="46"/>
    </row>
    <row r="25" spans="1:5" ht="12.75" outlineLevel="2">
      <c r="A25" s="8" t="s">
        <v>280</v>
      </c>
      <c r="B25" s="29" t="s">
        <v>1960</v>
      </c>
      <c r="C25" s="7" t="s">
        <v>281</v>
      </c>
      <c r="D25" s="31">
        <v>1219</v>
      </c>
      <c r="E25" s="46"/>
    </row>
    <row r="26" spans="1:5" ht="12.75" outlineLevel="2">
      <c r="A26" s="8" t="s">
        <v>970</v>
      </c>
      <c r="B26" s="29" t="s">
        <v>1960</v>
      </c>
      <c r="C26" s="51" t="s">
        <v>2254</v>
      </c>
      <c r="D26" s="31">
        <v>7.74</v>
      </c>
      <c r="E26" s="46"/>
    </row>
    <row r="27" spans="1:5" ht="12.75" outlineLevel="2">
      <c r="A27" s="8" t="s">
        <v>328</v>
      </c>
      <c r="B27" s="29" t="s">
        <v>1960</v>
      </c>
      <c r="C27" s="7" t="s">
        <v>329</v>
      </c>
      <c r="D27" s="31">
        <v>7.74</v>
      </c>
      <c r="E27" s="46"/>
    </row>
    <row r="28" spans="1:5" ht="12.75" outlineLevel="2">
      <c r="A28" s="8" t="s">
        <v>951</v>
      </c>
      <c r="B28" s="29" t="s">
        <v>1960</v>
      </c>
      <c r="C28" s="7" t="s">
        <v>921</v>
      </c>
      <c r="D28" s="31">
        <v>2272.8</v>
      </c>
      <c r="E28" s="46"/>
    </row>
    <row r="29" spans="1:5" ht="12.75" outlineLevel="2">
      <c r="A29" s="55" t="s">
        <v>1486</v>
      </c>
      <c r="B29" s="52" t="s">
        <v>1961</v>
      </c>
      <c r="C29" s="51" t="s">
        <v>1487</v>
      </c>
      <c r="D29" s="31">
        <v>1885</v>
      </c>
      <c r="E29" s="46"/>
    </row>
    <row r="30" spans="1:5" ht="12.75" outlineLevel="2">
      <c r="A30" s="8" t="s">
        <v>1523</v>
      </c>
      <c r="B30" s="52" t="s">
        <v>1961</v>
      </c>
      <c r="C30" s="55" t="s">
        <v>1516</v>
      </c>
      <c r="D30" s="31">
        <v>7.74</v>
      </c>
      <c r="E30" s="46"/>
    </row>
    <row r="31" spans="1:5" ht="12.75" outlineLevel="2">
      <c r="A31" s="8" t="s">
        <v>1537</v>
      </c>
      <c r="B31" s="52" t="s">
        <v>1961</v>
      </c>
      <c r="C31" s="55" t="s">
        <v>1516</v>
      </c>
      <c r="D31" s="30">
        <v>23.21</v>
      </c>
      <c r="E31" s="46"/>
    </row>
    <row r="32" spans="1:5" ht="12.75" outlineLevel="1">
      <c r="A32" s="117" t="s">
        <v>1342</v>
      </c>
      <c r="B32" s="118"/>
      <c r="C32" s="119"/>
      <c r="D32" s="28">
        <f>SUM(D33:D34)</f>
        <v>17209</v>
      </c>
      <c r="E32" s="46"/>
    </row>
    <row r="33" spans="1:5" ht="12.75" outlineLevel="2">
      <c r="A33" s="7" t="s">
        <v>2524</v>
      </c>
      <c r="B33" s="29" t="s">
        <v>1953</v>
      </c>
      <c r="C33" s="7" t="s">
        <v>2525</v>
      </c>
      <c r="D33" s="30">
        <v>8631</v>
      </c>
      <c r="E33" s="46"/>
    </row>
    <row r="34" spans="1:5" ht="12.75" outlineLevel="2">
      <c r="A34" s="7" t="s">
        <v>1230</v>
      </c>
      <c r="B34" s="29" t="s">
        <v>1957</v>
      </c>
      <c r="C34" s="7" t="s">
        <v>1220</v>
      </c>
      <c r="D34" s="30">
        <v>8578</v>
      </c>
      <c r="E34" s="46"/>
    </row>
    <row r="35" spans="1:5" ht="12.75" outlineLevel="1">
      <c r="A35" s="117" t="s">
        <v>1344</v>
      </c>
      <c r="B35" s="118"/>
      <c r="C35" s="119"/>
      <c r="D35" s="28">
        <f>SUM(D36:D47)</f>
        <v>59730</v>
      </c>
      <c r="E35" s="46"/>
    </row>
    <row r="36" spans="1:5" ht="12.75" outlineLevel="2">
      <c r="A36" s="7"/>
      <c r="B36" s="29" t="s">
        <v>849</v>
      </c>
      <c r="C36" s="7" t="s">
        <v>1950</v>
      </c>
      <c r="D36" s="30">
        <f>1137.76+993.74+590.48+1396.99+604.88+374.45</f>
        <v>5098.3</v>
      </c>
      <c r="E36" s="46"/>
    </row>
    <row r="37" spans="1:5" ht="12.75" outlineLevel="2">
      <c r="A37" s="7"/>
      <c r="B37" s="29" t="s">
        <v>1951</v>
      </c>
      <c r="C37" s="7" t="s">
        <v>1950</v>
      </c>
      <c r="D37" s="30">
        <f>1137.76+993.74+590.48+1396.99+604.88+374.45</f>
        <v>5098.3</v>
      </c>
      <c r="E37" s="46"/>
    </row>
    <row r="38" spans="1:5" ht="12.75" outlineLevel="2">
      <c r="A38" s="7"/>
      <c r="B38" s="29" t="s">
        <v>1952</v>
      </c>
      <c r="C38" s="7" t="s">
        <v>1950</v>
      </c>
      <c r="D38" s="30">
        <f>1137.76+993.74+590.48+1396.99+604.88+374.45+86.41</f>
        <v>5184.71</v>
      </c>
      <c r="E38" s="46"/>
    </row>
    <row r="39" spans="1:5" ht="12.75" outlineLevel="2">
      <c r="A39" s="7"/>
      <c r="B39" s="29" t="s">
        <v>1953</v>
      </c>
      <c r="C39" s="7" t="s">
        <v>1950</v>
      </c>
      <c r="D39" s="30">
        <f>1137.76+878.52+1987.48+576.08+374.45+86.41</f>
        <v>5040.7</v>
      </c>
      <c r="E39" s="46"/>
    </row>
    <row r="40" spans="1:5" ht="12.75" outlineLevel="2">
      <c r="A40" s="7"/>
      <c r="B40" s="29" t="s">
        <v>1954</v>
      </c>
      <c r="C40" s="7" t="s">
        <v>1950</v>
      </c>
      <c r="D40" s="20">
        <f>1137.76+763.31+1958.67+532.87+360.05+86.41</f>
        <v>4839.07</v>
      </c>
      <c r="E40" s="46"/>
    </row>
    <row r="41" spans="1:5" ht="12.75" outlineLevel="2">
      <c r="A41" s="7"/>
      <c r="B41" s="29" t="s">
        <v>1955</v>
      </c>
      <c r="C41" s="7" t="s">
        <v>1950</v>
      </c>
      <c r="D41" s="30">
        <f>993.74+266.44+180.03</f>
        <v>1440.21</v>
      </c>
      <c r="E41" s="46"/>
    </row>
    <row r="42" spans="1:5" ht="12.75" outlineLevel="2">
      <c r="A42" s="7"/>
      <c r="B42" s="29" t="s">
        <v>1956</v>
      </c>
      <c r="C42" s="7" t="s">
        <v>1950</v>
      </c>
      <c r="D42" s="30">
        <f>1267.38+849.72+2217.91+590.48+403.26+814.65</f>
        <v>6143.4</v>
      </c>
      <c r="E42" s="46"/>
    </row>
    <row r="43" spans="1:5" ht="12.75" outlineLevel="2">
      <c r="A43" s="7"/>
      <c r="B43" s="29" t="s">
        <v>1957</v>
      </c>
      <c r="C43" s="7" t="s">
        <v>1950</v>
      </c>
      <c r="D43" s="20">
        <f>1267.38+849.72+2217.91+590.48+403.26</f>
        <v>5328.75</v>
      </c>
      <c r="E43" s="46"/>
    </row>
    <row r="44" spans="1:5" ht="12.75" outlineLevel="2">
      <c r="A44" s="7"/>
      <c r="B44" s="29" t="s">
        <v>1958</v>
      </c>
      <c r="C44" s="7" t="s">
        <v>1950</v>
      </c>
      <c r="D44" s="30">
        <f>1267.38+849.72+2217.91+590.48+403.26</f>
        <v>5328.75</v>
      </c>
      <c r="E44" s="46"/>
    </row>
    <row r="45" spans="1:5" ht="12.75" outlineLevel="2">
      <c r="A45" s="7"/>
      <c r="B45" s="29" t="s">
        <v>1959</v>
      </c>
      <c r="C45" s="7" t="s">
        <v>1950</v>
      </c>
      <c r="D45" s="30">
        <f>1267.38+849.72+2217.91+590.48+175.33</f>
        <v>5100.82</v>
      </c>
      <c r="E45" s="46"/>
    </row>
    <row r="46" spans="1:5" ht="12.75" outlineLevel="2">
      <c r="A46" s="7"/>
      <c r="B46" s="29" t="s">
        <v>1960</v>
      </c>
      <c r="C46" s="7" t="s">
        <v>1950</v>
      </c>
      <c r="D46" s="30">
        <f>1267.38+1108.95+662.49+1555.42+676.89+403.26</f>
        <v>5674.39</v>
      </c>
      <c r="E46" s="46"/>
    </row>
    <row r="47" spans="1:5" ht="12.75" outlineLevel="2">
      <c r="A47" s="11"/>
      <c r="B47" s="29" t="s">
        <v>1961</v>
      </c>
      <c r="C47" s="7" t="s">
        <v>1950</v>
      </c>
      <c r="D47" s="30">
        <f>1267.38+887.16+662.49+1555.42+676.89+403.26</f>
        <v>5452.6</v>
      </c>
      <c r="E47" s="46"/>
    </row>
    <row r="48" spans="1:5" ht="12.75" outlineLevel="1">
      <c r="A48" s="117" t="s">
        <v>1346</v>
      </c>
      <c r="B48" s="118"/>
      <c r="C48" s="119"/>
      <c r="D48" s="28">
        <f>SUM(D49:D50)</f>
        <v>3561.84</v>
      </c>
      <c r="E48" s="46"/>
    </row>
    <row r="49" spans="1:5" ht="12.75" outlineLevel="2">
      <c r="A49" s="7" t="s">
        <v>2566</v>
      </c>
      <c r="B49" s="29" t="s">
        <v>1957</v>
      </c>
      <c r="C49" s="7" t="s">
        <v>2567</v>
      </c>
      <c r="D49" s="30">
        <v>3445</v>
      </c>
      <c r="E49" s="46"/>
    </row>
    <row r="50" spans="1:5" ht="12.75" outlineLevel="2">
      <c r="A50" s="7" t="s">
        <v>1806</v>
      </c>
      <c r="B50" s="29" t="s">
        <v>1958</v>
      </c>
      <c r="C50" s="7" t="s">
        <v>1798</v>
      </c>
      <c r="D50" s="30">
        <v>116.84</v>
      </c>
      <c r="E50" s="46"/>
    </row>
    <row r="51" spans="1:5" ht="12.75" outlineLevel="1">
      <c r="A51" s="117" t="s">
        <v>1341</v>
      </c>
      <c r="B51" s="118"/>
      <c r="C51" s="119"/>
      <c r="D51" s="28">
        <f>SUM(D52:D52)</f>
        <v>2611</v>
      </c>
      <c r="E51" s="46"/>
    </row>
    <row r="52" spans="1:5" ht="12.75" outlineLevel="2">
      <c r="A52" s="7" t="s">
        <v>1051</v>
      </c>
      <c r="B52" s="29" t="s">
        <v>1955</v>
      </c>
      <c r="C52" s="7" t="s">
        <v>1052</v>
      </c>
      <c r="D52" s="30">
        <v>2611</v>
      </c>
      <c r="E52" s="46"/>
    </row>
    <row r="53" spans="1:6" ht="12.75">
      <c r="A53" s="6">
        <v>1440.2</v>
      </c>
      <c r="B53" s="6" t="s">
        <v>1356</v>
      </c>
      <c r="C53" s="37" t="s">
        <v>1345</v>
      </c>
      <c r="D53" s="23">
        <f>(1440.2*6*1.46)+(1440.2*6*1.63)</f>
        <v>26701.308</v>
      </c>
      <c r="E53" s="46"/>
      <c r="F53" s="37" t="s">
        <v>1352</v>
      </c>
    </row>
    <row r="54" spans="1:6" ht="13.5" thickBot="1">
      <c r="A54" s="6">
        <v>1440.2</v>
      </c>
      <c r="B54" s="6" t="s">
        <v>1356</v>
      </c>
      <c r="C54" s="37" t="s">
        <v>1357</v>
      </c>
      <c r="D54" s="23">
        <f>(1440.2*6*0.1)+(1440.2*6*0.11)</f>
        <v>1814.652</v>
      </c>
      <c r="E54" s="46"/>
      <c r="F54" s="37" t="s">
        <v>1351</v>
      </c>
    </row>
    <row r="55" spans="1:6" ht="12.75" customHeight="1" thickTop="1">
      <c r="A55" s="132" t="s">
        <v>1361</v>
      </c>
      <c r="B55" s="133"/>
      <c r="C55" s="134"/>
      <c r="D55" s="67">
        <f>(1440.2*6*0.94)+(1440.2*6*1.03)</f>
        <v>17023.164</v>
      </c>
      <c r="E55" s="48"/>
      <c r="F55" s="14" t="s">
        <v>787</v>
      </c>
    </row>
    <row r="56" spans="1:6" ht="12.75" customHeight="1">
      <c r="A56" s="125" t="s">
        <v>1350</v>
      </c>
      <c r="B56" s="126"/>
      <c r="C56" s="127"/>
      <c r="D56" s="67">
        <f>(1440.2*6*1.57)+(1440.2*6*1.75)</f>
        <v>28688.784000000003</v>
      </c>
      <c r="E56" s="48"/>
      <c r="F56" s="14" t="s">
        <v>788</v>
      </c>
    </row>
    <row r="57" spans="1:6" ht="12.75" customHeight="1">
      <c r="A57" s="125" t="s">
        <v>1362</v>
      </c>
      <c r="B57" s="126"/>
      <c r="C57" s="127"/>
      <c r="D57" s="16">
        <f>10.3*(D59+D60)/100</f>
        <v>40319.09868</v>
      </c>
      <c r="E57" s="48"/>
      <c r="F57" s="14" t="s">
        <v>789</v>
      </c>
    </row>
    <row r="58" spans="1:6" ht="12.75" customHeight="1">
      <c r="A58" s="120" t="s">
        <v>1363</v>
      </c>
      <c r="B58" s="121"/>
      <c r="C58" s="122"/>
      <c r="D58" s="41">
        <f>D57+D56+D55+D6+D3</f>
        <v>509500.70668</v>
      </c>
      <c r="E58" s="48">
        <v>1</v>
      </c>
      <c r="F58" s="14" t="s">
        <v>790</v>
      </c>
    </row>
    <row r="59" spans="1:6" ht="12.75" customHeight="1">
      <c r="A59" s="114" t="s">
        <v>1364</v>
      </c>
      <c r="B59" s="115"/>
      <c r="C59" s="116"/>
      <c r="D59" s="18">
        <v>343920.96</v>
      </c>
      <c r="E59" s="48">
        <v>2</v>
      </c>
      <c r="F59" s="27"/>
    </row>
    <row r="60" spans="1:6" ht="12.75" customHeight="1">
      <c r="A60" s="114" t="s">
        <v>1365</v>
      </c>
      <c r="B60" s="115"/>
      <c r="C60" s="116"/>
      <c r="D60" s="18">
        <v>47526.6</v>
      </c>
      <c r="E60" s="48">
        <v>3</v>
      </c>
      <c r="F60" s="37" t="s">
        <v>1352</v>
      </c>
    </row>
    <row r="61" spans="1:6" ht="12.75" customHeight="1">
      <c r="A61" s="114" t="s">
        <v>2221</v>
      </c>
      <c r="B61" s="115"/>
      <c r="C61" s="116"/>
      <c r="D61" s="19">
        <f>377564.42+D59</f>
        <v>721485.38</v>
      </c>
      <c r="E61" s="48">
        <v>4</v>
      </c>
      <c r="F61" s="37" t="s">
        <v>791</v>
      </c>
    </row>
    <row r="62" spans="1:6" ht="13.5" customHeight="1">
      <c r="A62" s="114" t="s">
        <v>2222</v>
      </c>
      <c r="B62" s="115"/>
      <c r="C62" s="116"/>
      <c r="D62" s="19">
        <f>297423.55+D67</f>
        <v>631557.89</v>
      </c>
      <c r="E62" s="48">
        <v>5</v>
      </c>
      <c r="F62" s="14" t="s">
        <v>843</v>
      </c>
    </row>
    <row r="63" spans="1:6" ht="25.5" customHeight="1">
      <c r="A63" s="120" t="s">
        <v>2223</v>
      </c>
      <c r="B63" s="121"/>
      <c r="C63" s="122"/>
      <c r="D63" s="42">
        <f>240789.17+D58</f>
        <v>750289.87668</v>
      </c>
      <c r="E63" s="48">
        <v>6</v>
      </c>
      <c r="F63" s="14" t="s">
        <v>844</v>
      </c>
    </row>
    <row r="64" spans="1:6" ht="12.75" customHeight="1">
      <c r="A64" s="114" t="s">
        <v>2224</v>
      </c>
      <c r="B64" s="115"/>
      <c r="C64" s="116"/>
      <c r="D64" s="19">
        <f>53485.75+D60</f>
        <v>101012.35</v>
      </c>
      <c r="E64" s="48">
        <v>7</v>
      </c>
      <c r="F64" s="14" t="s">
        <v>845</v>
      </c>
    </row>
    <row r="65" spans="1:6" ht="12.75" customHeight="1">
      <c r="A65" s="114" t="s">
        <v>2225</v>
      </c>
      <c r="B65" s="115"/>
      <c r="C65" s="116"/>
      <c r="D65" s="19">
        <f>42181.36+D68</f>
        <v>88355.55</v>
      </c>
      <c r="E65" s="48">
        <v>8</v>
      </c>
      <c r="F65" s="14" t="s">
        <v>787</v>
      </c>
    </row>
    <row r="66" spans="1:6" ht="12.75" customHeight="1">
      <c r="A66" s="120" t="s">
        <v>2226</v>
      </c>
      <c r="B66" s="121"/>
      <c r="C66" s="122"/>
      <c r="D66" s="42">
        <f>0</f>
        <v>0</v>
      </c>
      <c r="E66" s="48">
        <v>9</v>
      </c>
      <c r="F66" s="14" t="s">
        <v>846</v>
      </c>
    </row>
    <row r="67" spans="1:6" ht="12.75" customHeight="1">
      <c r="A67" s="114" t="s">
        <v>779</v>
      </c>
      <c r="B67" s="115"/>
      <c r="C67" s="116"/>
      <c r="D67" s="18">
        <v>334134.34</v>
      </c>
      <c r="E67" s="48">
        <v>10</v>
      </c>
      <c r="F67" s="14" t="s">
        <v>847</v>
      </c>
    </row>
    <row r="68" spans="1:6" ht="12.75" customHeight="1">
      <c r="A68" s="114" t="s">
        <v>780</v>
      </c>
      <c r="B68" s="115"/>
      <c r="C68" s="116"/>
      <c r="D68" s="18">
        <v>46174.19</v>
      </c>
      <c r="E68" s="48">
        <v>11</v>
      </c>
      <c r="F68" s="14" t="s">
        <v>848</v>
      </c>
    </row>
    <row r="69" spans="1:6" ht="12.75" customHeight="1">
      <c r="A69" s="120" t="s">
        <v>781</v>
      </c>
      <c r="B69" s="121"/>
      <c r="C69" s="122"/>
      <c r="D69" s="41">
        <v>0</v>
      </c>
      <c r="E69" s="48">
        <v>12</v>
      </c>
      <c r="F69" s="43"/>
    </row>
    <row r="70" spans="1:6" ht="27" customHeight="1">
      <c r="A70" s="108" t="s">
        <v>2220</v>
      </c>
      <c r="B70" s="109"/>
      <c r="C70" s="110"/>
      <c r="D70" s="26">
        <f>D61-D63</f>
        <v>-28804.496679999982</v>
      </c>
      <c r="E70" s="48">
        <v>13</v>
      </c>
      <c r="F70" s="43"/>
    </row>
    <row r="71" spans="1:6" ht="25.5" customHeight="1">
      <c r="A71" s="108" t="s">
        <v>783</v>
      </c>
      <c r="B71" s="109"/>
      <c r="C71" s="110"/>
      <c r="D71" s="26">
        <f>D64-D66</f>
        <v>101012.35</v>
      </c>
      <c r="E71" s="48">
        <v>14</v>
      </c>
      <c r="F71" s="43"/>
    </row>
    <row r="72" spans="1:6" ht="25.5" customHeight="1">
      <c r="A72" s="108" t="s">
        <v>718</v>
      </c>
      <c r="B72" s="109"/>
      <c r="C72" s="110"/>
      <c r="D72" s="26">
        <f>D62-D63</f>
        <v>-118731.98667999997</v>
      </c>
      <c r="E72" s="48">
        <v>15</v>
      </c>
      <c r="F72" s="43"/>
    </row>
    <row r="73" ht="12.75">
      <c r="F73" s="43"/>
    </row>
  </sheetData>
  <sheetProtection/>
  <mergeCells count="27">
    <mergeCell ref="A66:C66"/>
    <mergeCell ref="A35:C35"/>
    <mergeCell ref="A63:C63"/>
    <mergeCell ref="A48:C48"/>
    <mergeCell ref="A51:C51"/>
    <mergeCell ref="A65:C65"/>
    <mergeCell ref="A58:C58"/>
    <mergeCell ref="A61:C61"/>
    <mergeCell ref="A62:C62"/>
    <mergeCell ref="A59:C59"/>
    <mergeCell ref="A60:C60"/>
    <mergeCell ref="A32:C32"/>
    <mergeCell ref="A57:C57"/>
    <mergeCell ref="A64:C64"/>
    <mergeCell ref="A71:C71"/>
    <mergeCell ref="A72:C72"/>
    <mergeCell ref="A67:C67"/>
    <mergeCell ref="A68:C68"/>
    <mergeCell ref="A69:C69"/>
    <mergeCell ref="A70:C70"/>
    <mergeCell ref="A1:D1"/>
    <mergeCell ref="A55:C55"/>
    <mergeCell ref="A56:C56"/>
    <mergeCell ref="A3:C3"/>
    <mergeCell ref="A4:C4"/>
    <mergeCell ref="A6:C6"/>
    <mergeCell ref="A7:C7"/>
  </mergeCells>
  <printOptions/>
  <pageMargins left="0.23" right="0.1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10" sqref="A1:D110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6.25" customHeight="1" thickBot="1">
      <c r="A1" s="135" t="s">
        <v>1617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38761.3</v>
      </c>
      <c r="E3" s="45"/>
    </row>
    <row r="4" spans="1:5" ht="12.75" outlineLevel="1">
      <c r="A4" s="117" t="s">
        <v>1355</v>
      </c>
      <c r="B4" s="118"/>
      <c r="C4" s="119"/>
      <c r="D4" s="28">
        <f>SUM(D5:D6)</f>
        <v>38761.3</v>
      </c>
      <c r="E4" s="46"/>
    </row>
    <row r="5" spans="1:5" ht="12.75" outlineLevel="2">
      <c r="A5" s="51" t="s">
        <v>65</v>
      </c>
      <c r="B5" s="52" t="s">
        <v>1956</v>
      </c>
      <c r="C5" s="63" t="s">
        <v>67</v>
      </c>
      <c r="D5" s="30">
        <v>33333.3</v>
      </c>
      <c r="E5" s="46"/>
    </row>
    <row r="6" spans="1:5" ht="12.75" outlineLevel="2">
      <c r="A6" s="51" t="s">
        <v>82</v>
      </c>
      <c r="B6" s="52" t="s">
        <v>1959</v>
      </c>
      <c r="C6" s="63" t="s">
        <v>83</v>
      </c>
      <c r="D6" s="30">
        <v>5428</v>
      </c>
      <c r="E6" s="46"/>
    </row>
    <row r="7" spans="1:5" ht="13.5" customHeight="1" thickBot="1">
      <c r="A7" s="124" t="s">
        <v>1343</v>
      </c>
      <c r="B7" s="124"/>
      <c r="C7" s="124"/>
      <c r="D7" s="25">
        <f>D8+D45+D49+D52+D65+D76+D89+D90</f>
        <v>370351.85</v>
      </c>
      <c r="E7" s="45"/>
    </row>
    <row r="8" spans="1:5" ht="13.5" outlineLevel="1" thickTop="1">
      <c r="A8" s="111" t="s">
        <v>1354</v>
      </c>
      <c r="B8" s="112"/>
      <c r="C8" s="113"/>
      <c r="D8" s="28">
        <f>SUM(D9:D44)</f>
        <v>80737.82</v>
      </c>
      <c r="E8" s="46"/>
    </row>
    <row r="9" spans="1:5" ht="12.75" outlineLevel="2">
      <c r="A9" s="7" t="s">
        <v>1103</v>
      </c>
      <c r="B9" s="29" t="s">
        <v>849</v>
      </c>
      <c r="C9" s="7" t="s">
        <v>1106</v>
      </c>
      <c r="D9" s="30">
        <v>2330</v>
      </c>
      <c r="E9" s="46"/>
    </row>
    <row r="10" spans="1:5" ht="12.75" outlineLevel="2">
      <c r="A10" s="7" t="s">
        <v>1159</v>
      </c>
      <c r="B10" s="29" t="s">
        <v>849</v>
      </c>
      <c r="C10" s="7" t="s">
        <v>1160</v>
      </c>
      <c r="D10" s="30">
        <v>1485</v>
      </c>
      <c r="E10" s="46"/>
    </row>
    <row r="11" spans="1:5" ht="12.75" outlineLevel="2">
      <c r="A11" s="7" t="s">
        <v>1161</v>
      </c>
      <c r="B11" s="29" t="s">
        <v>849</v>
      </c>
      <c r="C11" s="7" t="s">
        <v>1162</v>
      </c>
      <c r="D11" s="30">
        <v>771</v>
      </c>
      <c r="E11" s="46"/>
    </row>
    <row r="12" spans="1:5" ht="12.75" outlineLevel="2">
      <c r="A12" s="7" t="s">
        <v>1168</v>
      </c>
      <c r="B12" s="29" t="s">
        <v>849</v>
      </c>
      <c r="C12" s="51" t="s">
        <v>2256</v>
      </c>
      <c r="D12" s="30">
        <v>907</v>
      </c>
      <c r="E12" s="46"/>
    </row>
    <row r="13" spans="1:5" ht="12.75" outlineLevel="2">
      <c r="A13" s="7" t="s">
        <v>1755</v>
      </c>
      <c r="B13" s="29" t="s">
        <v>849</v>
      </c>
      <c r="C13" s="7" t="s">
        <v>1758</v>
      </c>
      <c r="D13" s="30">
        <v>284</v>
      </c>
      <c r="E13" s="46"/>
    </row>
    <row r="14" spans="1:5" ht="12.75" outlineLevel="2">
      <c r="A14" s="51" t="s">
        <v>2205</v>
      </c>
      <c r="B14" s="52" t="s">
        <v>849</v>
      </c>
      <c r="C14" s="51" t="s">
        <v>2200</v>
      </c>
      <c r="D14" s="30">
        <v>189.4</v>
      </c>
      <c r="E14" s="46"/>
    </row>
    <row r="15" spans="1:5" ht="12.75" outlineLevel="2">
      <c r="A15" s="51" t="s">
        <v>236</v>
      </c>
      <c r="B15" s="52" t="s">
        <v>1951</v>
      </c>
      <c r="C15" s="51" t="s">
        <v>237</v>
      </c>
      <c r="D15" s="30">
        <v>4998</v>
      </c>
      <c r="E15" s="46"/>
    </row>
    <row r="16" spans="1:5" ht="12.75" outlineLevel="2">
      <c r="A16" s="51" t="s">
        <v>465</v>
      </c>
      <c r="B16" s="52" t="s">
        <v>1951</v>
      </c>
      <c r="C16" s="51" t="s">
        <v>237</v>
      </c>
      <c r="D16" s="30">
        <v>4525</v>
      </c>
      <c r="E16" s="46"/>
    </row>
    <row r="17" spans="1:5" ht="12.75" outlineLevel="2">
      <c r="A17" s="51" t="s">
        <v>452</v>
      </c>
      <c r="B17" s="52" t="s">
        <v>1951</v>
      </c>
      <c r="C17" s="51" t="s">
        <v>453</v>
      </c>
      <c r="D17" s="30">
        <v>4003</v>
      </c>
      <c r="E17" s="46"/>
    </row>
    <row r="18" spans="1:5" ht="12.75" outlineLevel="2">
      <c r="A18" s="7" t="s">
        <v>7</v>
      </c>
      <c r="B18" s="29" t="s">
        <v>1952</v>
      </c>
      <c r="C18" s="7" t="s">
        <v>8</v>
      </c>
      <c r="D18" s="30">
        <v>1147</v>
      </c>
      <c r="E18" s="46"/>
    </row>
    <row r="19" spans="1:5" ht="12.75" outlineLevel="2">
      <c r="A19" s="7" t="s">
        <v>2379</v>
      </c>
      <c r="B19" s="29" t="s">
        <v>1952</v>
      </c>
      <c r="C19" s="7" t="s">
        <v>2375</v>
      </c>
      <c r="D19" s="30">
        <v>94.7</v>
      </c>
      <c r="E19" s="46"/>
    </row>
    <row r="20" spans="1:5" ht="12.75" outlineLevel="2">
      <c r="A20" s="7" t="s">
        <v>2297</v>
      </c>
      <c r="B20" s="29" t="s">
        <v>1953</v>
      </c>
      <c r="C20" s="7" t="s">
        <v>2301</v>
      </c>
      <c r="D20" s="30">
        <v>136</v>
      </c>
      <c r="E20" s="46"/>
    </row>
    <row r="21" spans="1:5" ht="12.75" outlineLevel="2">
      <c r="A21" s="7" t="s">
        <v>2097</v>
      </c>
      <c r="B21" s="29" t="s">
        <v>1953</v>
      </c>
      <c r="C21" s="7" t="s">
        <v>2304</v>
      </c>
      <c r="D21" s="30">
        <v>767</v>
      </c>
      <c r="E21" s="46"/>
    </row>
    <row r="22" spans="1:5" ht="12.75" outlineLevel="2">
      <c r="A22" s="7" t="s">
        <v>1323</v>
      </c>
      <c r="B22" s="29" t="s">
        <v>1953</v>
      </c>
      <c r="C22" s="7" t="s">
        <v>1324</v>
      </c>
      <c r="D22" s="30">
        <v>189.4</v>
      </c>
      <c r="E22" s="46"/>
    </row>
    <row r="23" spans="1:5" ht="12.75" outlineLevel="2">
      <c r="A23" s="8" t="s">
        <v>2667</v>
      </c>
      <c r="B23" s="29" t="s">
        <v>1954</v>
      </c>
      <c r="C23" s="7" t="s">
        <v>2668</v>
      </c>
      <c r="D23" s="31">
        <v>614</v>
      </c>
      <c r="E23" s="46"/>
    </row>
    <row r="24" spans="1:5" ht="12.75" outlineLevel="2">
      <c r="A24" s="8" t="s">
        <v>585</v>
      </c>
      <c r="B24" s="29" t="s">
        <v>1954</v>
      </c>
      <c r="C24" s="7" t="s">
        <v>559</v>
      </c>
      <c r="D24" s="31">
        <v>140.62</v>
      </c>
      <c r="E24" s="46"/>
    </row>
    <row r="25" spans="1:5" ht="12.75" outlineLevel="2">
      <c r="A25" s="8" t="s">
        <v>2781</v>
      </c>
      <c r="B25" s="29" t="s">
        <v>1954</v>
      </c>
      <c r="C25" s="8" t="s">
        <v>1328</v>
      </c>
      <c r="D25" s="31">
        <v>189.4</v>
      </c>
      <c r="E25" s="46"/>
    </row>
    <row r="26" spans="1:5" ht="12.75" outlineLevel="2">
      <c r="A26" s="8" t="s">
        <v>149</v>
      </c>
      <c r="B26" s="29" t="s">
        <v>1955</v>
      </c>
      <c r="C26" s="8" t="s">
        <v>150</v>
      </c>
      <c r="D26" s="31">
        <v>4188</v>
      </c>
      <c r="E26" s="46"/>
    </row>
    <row r="27" spans="1:5" ht="25.5" outlineLevel="2">
      <c r="A27" s="8" t="s">
        <v>975</v>
      </c>
      <c r="B27" s="29" t="s">
        <v>1955</v>
      </c>
      <c r="C27" s="8" t="s">
        <v>976</v>
      </c>
      <c r="D27" s="31">
        <v>2636</v>
      </c>
      <c r="E27" s="46"/>
    </row>
    <row r="28" spans="1:5" ht="12.75" outlineLevel="2">
      <c r="A28" s="8" t="s">
        <v>434</v>
      </c>
      <c r="B28" s="29" t="s">
        <v>1955</v>
      </c>
      <c r="C28" s="8" t="s">
        <v>424</v>
      </c>
      <c r="D28" s="31">
        <v>5292</v>
      </c>
      <c r="E28" s="46"/>
    </row>
    <row r="29" spans="1:5" ht="12.75" outlineLevel="2">
      <c r="A29" s="8" t="s">
        <v>1930</v>
      </c>
      <c r="B29" s="29" t="s">
        <v>1955</v>
      </c>
      <c r="C29" s="8" t="s">
        <v>424</v>
      </c>
      <c r="D29" s="31">
        <v>1967.49</v>
      </c>
      <c r="E29" s="46"/>
    </row>
    <row r="30" spans="1:5" ht="12.75" outlineLevel="2">
      <c r="A30" s="8" t="s">
        <v>1081</v>
      </c>
      <c r="B30" s="29" t="s">
        <v>1956</v>
      </c>
      <c r="C30" s="8" t="s">
        <v>1084</v>
      </c>
      <c r="D30" s="31">
        <v>46.13</v>
      </c>
      <c r="E30" s="46"/>
    </row>
    <row r="31" spans="1:5" ht="12.75" outlineLevel="2">
      <c r="A31" s="8" t="s">
        <v>1085</v>
      </c>
      <c r="B31" s="29" t="s">
        <v>1956</v>
      </c>
      <c r="C31" s="55" t="s">
        <v>2255</v>
      </c>
      <c r="D31" s="31">
        <v>15.62</v>
      </c>
      <c r="E31" s="46"/>
    </row>
    <row r="32" spans="1:5" ht="25.5" outlineLevel="2">
      <c r="A32" s="7" t="s">
        <v>2585</v>
      </c>
      <c r="B32" s="7" t="s">
        <v>1957</v>
      </c>
      <c r="C32" s="7" t="s">
        <v>2586</v>
      </c>
      <c r="D32" s="31">
        <v>38.32</v>
      </c>
      <c r="E32" s="46"/>
    </row>
    <row r="33" spans="1:5" ht="25.5" outlineLevel="2">
      <c r="A33" s="7" t="s">
        <v>2600</v>
      </c>
      <c r="B33" s="7" t="s">
        <v>1957</v>
      </c>
      <c r="C33" s="8" t="s">
        <v>2599</v>
      </c>
      <c r="D33" s="31">
        <v>46.84</v>
      </c>
      <c r="E33" s="46"/>
    </row>
    <row r="34" spans="1:5" ht="12.75" outlineLevel="2">
      <c r="A34" s="8" t="s">
        <v>324</v>
      </c>
      <c r="B34" s="29" t="s">
        <v>1958</v>
      </c>
      <c r="C34" s="8" t="s">
        <v>325</v>
      </c>
      <c r="D34" s="31">
        <v>5045</v>
      </c>
      <c r="E34" s="46"/>
    </row>
    <row r="35" spans="1:5" ht="12.75" outlineLevel="2">
      <c r="A35" s="8" t="s">
        <v>2129</v>
      </c>
      <c r="B35" s="29" t="s">
        <v>1959</v>
      </c>
      <c r="C35" s="8" t="s">
        <v>2130</v>
      </c>
      <c r="D35" s="31">
        <v>9350</v>
      </c>
      <c r="E35" s="46"/>
    </row>
    <row r="36" spans="1:5" ht="12.75" outlineLevel="2">
      <c r="A36" s="8" t="s">
        <v>871</v>
      </c>
      <c r="B36" s="29" t="s">
        <v>1959</v>
      </c>
      <c r="C36" s="7" t="s">
        <v>2727</v>
      </c>
      <c r="D36" s="30">
        <v>1334.41</v>
      </c>
      <c r="E36" s="46"/>
    </row>
    <row r="37" spans="1:5" ht="12.75" outlineLevel="2">
      <c r="A37" s="8" t="s">
        <v>2036</v>
      </c>
      <c r="B37" s="29" t="s">
        <v>1960</v>
      </c>
      <c r="C37" s="8" t="s">
        <v>2037</v>
      </c>
      <c r="D37" s="31">
        <v>163.05</v>
      </c>
      <c r="E37" s="46"/>
    </row>
    <row r="38" spans="1:5" ht="12.75" outlineLevel="2">
      <c r="A38" s="8" t="s">
        <v>2755</v>
      </c>
      <c r="B38" s="29" t="s">
        <v>1960</v>
      </c>
      <c r="C38" s="8" t="s">
        <v>2756</v>
      </c>
      <c r="D38" s="31">
        <v>1345.92</v>
      </c>
      <c r="E38" s="46"/>
    </row>
    <row r="39" spans="1:5" ht="25.5" outlineLevel="2">
      <c r="A39" s="8" t="s">
        <v>251</v>
      </c>
      <c r="B39" s="29" t="s">
        <v>1960</v>
      </c>
      <c r="C39" s="8" t="s">
        <v>250</v>
      </c>
      <c r="D39" s="31">
        <v>4258.97</v>
      </c>
      <c r="E39" s="46"/>
    </row>
    <row r="40" spans="1:5" ht="12.75" outlineLevel="2">
      <c r="A40" s="8" t="s">
        <v>199</v>
      </c>
      <c r="B40" s="29" t="s">
        <v>1960</v>
      </c>
      <c r="C40" s="8" t="s">
        <v>200</v>
      </c>
      <c r="D40" s="31">
        <v>7.81</v>
      </c>
      <c r="E40" s="46"/>
    </row>
    <row r="41" spans="1:5" ht="12.75" outlineLevel="2">
      <c r="A41" s="8" t="s">
        <v>950</v>
      </c>
      <c r="B41" s="29" t="s">
        <v>1960</v>
      </c>
      <c r="C41" s="7" t="s">
        <v>921</v>
      </c>
      <c r="D41" s="30">
        <v>2272.8</v>
      </c>
      <c r="E41" s="46"/>
    </row>
    <row r="42" spans="1:5" ht="25.5" outlineLevel="2">
      <c r="A42" s="8" t="s">
        <v>728</v>
      </c>
      <c r="B42" s="29" t="s">
        <v>1961</v>
      </c>
      <c r="C42" s="7" t="s">
        <v>729</v>
      </c>
      <c r="D42" s="31">
        <v>8224</v>
      </c>
      <c r="E42" s="46"/>
    </row>
    <row r="43" spans="1:5" ht="25.5" outlineLevel="2">
      <c r="A43" s="8" t="s">
        <v>1376</v>
      </c>
      <c r="B43" s="29" t="s">
        <v>1961</v>
      </c>
      <c r="C43" s="7" t="s">
        <v>1377</v>
      </c>
      <c r="D43" s="31">
        <v>9460.94</v>
      </c>
      <c r="E43" s="46"/>
    </row>
    <row r="44" spans="1:5" ht="12.75" outlineLevel="2">
      <c r="A44" s="55" t="s">
        <v>1488</v>
      </c>
      <c r="B44" s="52" t="s">
        <v>1961</v>
      </c>
      <c r="C44" s="51" t="s">
        <v>1489</v>
      </c>
      <c r="D44" s="31">
        <v>2274</v>
      </c>
      <c r="E44" s="46"/>
    </row>
    <row r="45" spans="1:5" ht="12.75" outlineLevel="1">
      <c r="A45" s="117" t="s">
        <v>1340</v>
      </c>
      <c r="B45" s="118"/>
      <c r="C45" s="119"/>
      <c r="D45" s="28">
        <f>SUM(D46:D48)</f>
        <v>921</v>
      </c>
      <c r="E45" s="46"/>
    </row>
    <row r="46" spans="1:5" ht="25.5" outlineLevel="2">
      <c r="A46" s="9" t="s">
        <v>1737</v>
      </c>
      <c r="B46" s="29" t="s">
        <v>849</v>
      </c>
      <c r="C46" s="7" t="s">
        <v>1738</v>
      </c>
      <c r="D46" s="30">
        <v>805</v>
      </c>
      <c r="E46" s="46"/>
    </row>
    <row r="47" spans="1:5" ht="12.75" outlineLevel="2">
      <c r="A47" s="9" t="s">
        <v>2464</v>
      </c>
      <c r="B47" s="29" t="s">
        <v>1953</v>
      </c>
      <c r="C47" s="7" t="s">
        <v>2467</v>
      </c>
      <c r="D47" s="30">
        <v>77</v>
      </c>
      <c r="E47" s="46"/>
    </row>
    <row r="48" spans="1:5" ht="12.75" outlineLevel="2">
      <c r="A48" s="9" t="s">
        <v>169</v>
      </c>
      <c r="B48" s="29" t="s">
        <v>1955</v>
      </c>
      <c r="C48" s="7" t="s">
        <v>170</v>
      </c>
      <c r="D48" s="30">
        <v>39</v>
      </c>
      <c r="E48" s="46"/>
    </row>
    <row r="49" spans="1:5" ht="12.75" outlineLevel="1">
      <c r="A49" s="117" t="s">
        <v>1342</v>
      </c>
      <c r="B49" s="118"/>
      <c r="C49" s="119"/>
      <c r="D49" s="28">
        <f>SUM(D50:D51)</f>
        <v>23681</v>
      </c>
      <c r="E49" s="46"/>
    </row>
    <row r="50" spans="1:5" ht="12.75" outlineLevel="2">
      <c r="A50" s="51" t="s">
        <v>1660</v>
      </c>
      <c r="B50" s="52" t="s">
        <v>1952</v>
      </c>
      <c r="C50" s="51" t="s">
        <v>1661</v>
      </c>
      <c r="D50" s="30">
        <v>6032</v>
      </c>
      <c r="E50" s="46"/>
    </row>
    <row r="51" spans="1:5" ht="12.75" outlineLevel="2">
      <c r="A51" s="7" t="s">
        <v>1020</v>
      </c>
      <c r="B51" s="29" t="s">
        <v>1955</v>
      </c>
      <c r="C51" s="7" t="s">
        <v>1021</v>
      </c>
      <c r="D51" s="30">
        <v>17649</v>
      </c>
      <c r="E51" s="46"/>
    </row>
    <row r="52" spans="1:5" ht="12.75" outlineLevel="1">
      <c r="A52" s="117" t="s">
        <v>1344</v>
      </c>
      <c r="B52" s="118"/>
      <c r="C52" s="119"/>
      <c r="D52" s="28">
        <f>SUM(D53:D64)</f>
        <v>170458.62999999998</v>
      </c>
      <c r="E52" s="46"/>
    </row>
    <row r="53" spans="1:5" ht="12.75" outlineLevel="2">
      <c r="A53" s="7"/>
      <c r="B53" s="29" t="s">
        <v>849</v>
      </c>
      <c r="C53" s="7" t="s">
        <v>1950</v>
      </c>
      <c r="D53" s="30">
        <f>3122.08+2726.88+1620.32+3833.44+1659.84+1027.52</f>
        <v>13990.08</v>
      </c>
      <c r="E53" s="46"/>
    </row>
    <row r="54" spans="1:5" ht="12.75" outlineLevel="2">
      <c r="A54" s="7"/>
      <c r="B54" s="29" t="s">
        <v>1951</v>
      </c>
      <c r="C54" s="7" t="s">
        <v>1950</v>
      </c>
      <c r="D54" s="30">
        <f>3122.08+2726.88+1620.32+3833.44+1659.84+1027.52</f>
        <v>13990.08</v>
      </c>
      <c r="E54" s="46"/>
    </row>
    <row r="55" spans="1:5" ht="12.75" outlineLevel="2">
      <c r="A55" s="7"/>
      <c r="B55" s="29" t="s">
        <v>1952</v>
      </c>
      <c r="C55" s="7" t="s">
        <v>1950</v>
      </c>
      <c r="D55" s="30">
        <f>3122.08+2726.88+1620.32+3833.44+1659.84+1027.52+237.12</f>
        <v>14227.2</v>
      </c>
      <c r="E55" s="46"/>
    </row>
    <row r="56" spans="1:5" ht="12.75" outlineLevel="2">
      <c r="A56" s="7"/>
      <c r="B56" s="29" t="s">
        <v>1953</v>
      </c>
      <c r="C56" s="7" t="s">
        <v>1950</v>
      </c>
      <c r="D56" s="30">
        <f>3122.08+2410.72+5453.76+1580.8+1027.52+237.12</f>
        <v>13832</v>
      </c>
      <c r="E56" s="46"/>
    </row>
    <row r="57" spans="1:5" ht="12.75" outlineLevel="2">
      <c r="A57" s="7"/>
      <c r="B57" s="29" t="s">
        <v>1954</v>
      </c>
      <c r="C57" s="7" t="s">
        <v>1950</v>
      </c>
      <c r="D57" s="30">
        <f>3122.08+2094.56+5374.12+1462.24+988+237.12+158.08</f>
        <v>13436.199999999999</v>
      </c>
      <c r="E57" s="46"/>
    </row>
    <row r="58" spans="1:5" ht="12.75" outlineLevel="2">
      <c r="A58" s="7"/>
      <c r="B58" s="29" t="s">
        <v>1955</v>
      </c>
      <c r="C58" s="7" t="s">
        <v>1950</v>
      </c>
      <c r="D58" s="30">
        <f>1561.04+1047.28+2726.88+731.12+494+467.92</f>
        <v>7028.24</v>
      </c>
      <c r="E58" s="46"/>
    </row>
    <row r="59" spans="1:5" ht="12.75" outlineLevel="2">
      <c r="A59" s="7"/>
      <c r="B59" s="29" t="s">
        <v>1956</v>
      </c>
      <c r="C59" s="7" t="s">
        <v>1950</v>
      </c>
      <c r="D59" s="30">
        <f>3477.76+2331.68+6086.08+1620.32+1106.56+4979.52</f>
        <v>19601.92</v>
      </c>
      <c r="E59" s="46"/>
    </row>
    <row r="60" spans="1:5" ht="12.75" outlineLevel="2">
      <c r="A60" s="7"/>
      <c r="B60" s="29" t="s">
        <v>1957</v>
      </c>
      <c r="C60" s="7" t="s">
        <v>1950</v>
      </c>
      <c r="D60" s="30">
        <f>3477.76+2331.68+6086.08+1620.32+1106.56</f>
        <v>14622.4</v>
      </c>
      <c r="E60" s="46"/>
    </row>
    <row r="61" spans="1:5" ht="12.75" outlineLevel="2">
      <c r="A61" s="7"/>
      <c r="B61" s="29" t="s">
        <v>1958</v>
      </c>
      <c r="C61" s="7" t="s">
        <v>1950</v>
      </c>
      <c r="D61" s="30">
        <f>3447.76+2331.68+6086.08+1620.32+1106.56</f>
        <v>14592.4</v>
      </c>
      <c r="E61" s="46"/>
    </row>
    <row r="62" spans="1:5" ht="12.75" outlineLevel="2">
      <c r="A62" s="7"/>
      <c r="B62" s="29" t="s">
        <v>1959</v>
      </c>
      <c r="C62" s="7" t="s">
        <v>1950</v>
      </c>
      <c r="D62" s="30">
        <f>3477.76+2331.68+6086.08+1620.32+481.11</f>
        <v>13996.95</v>
      </c>
      <c r="E62" s="46"/>
    </row>
    <row r="63" spans="1:5" ht="12.75" outlineLevel="2">
      <c r="A63" s="7"/>
      <c r="B63" s="29" t="s">
        <v>1960</v>
      </c>
      <c r="C63" s="7" t="s">
        <v>1950</v>
      </c>
      <c r="D63" s="30">
        <f>3477.46+3043.04+1817.92+4268.16+1857.44+1106.56</f>
        <v>15570.58</v>
      </c>
      <c r="E63" s="46"/>
    </row>
    <row r="64" spans="1:5" ht="12.75" outlineLevel="2">
      <c r="A64" s="11"/>
      <c r="B64" s="29" t="s">
        <v>1961</v>
      </c>
      <c r="C64" s="7" t="s">
        <v>1950</v>
      </c>
      <c r="D64" s="30">
        <f>3477.46+3043.04+1817.92+4268.16+1857.44+1106.56</f>
        <v>15570.58</v>
      </c>
      <c r="E64" s="46"/>
    </row>
    <row r="65" spans="1:5" ht="12.75" outlineLevel="1">
      <c r="A65" s="117" t="s">
        <v>1346</v>
      </c>
      <c r="B65" s="118"/>
      <c r="C65" s="119"/>
      <c r="D65" s="28">
        <f>SUM(D66:D75)</f>
        <v>6219.82</v>
      </c>
      <c r="E65" s="46"/>
    </row>
    <row r="66" spans="1:5" ht="12.75" outlineLevel="2">
      <c r="A66" s="7" t="s">
        <v>1711</v>
      </c>
      <c r="B66" s="29" t="s">
        <v>849</v>
      </c>
      <c r="C66" s="7" t="s">
        <v>1712</v>
      </c>
      <c r="D66" s="30">
        <v>761</v>
      </c>
      <c r="E66" s="46"/>
    </row>
    <row r="67" spans="1:5" ht="12.75" outlineLevel="2">
      <c r="A67" s="7" t="s">
        <v>2053</v>
      </c>
      <c r="B67" s="29" t="s">
        <v>849</v>
      </c>
      <c r="C67" s="7" t="s">
        <v>2054</v>
      </c>
      <c r="D67" s="30">
        <v>600</v>
      </c>
      <c r="E67" s="46"/>
    </row>
    <row r="68" spans="1:5" ht="12.75" outlineLevel="2">
      <c r="A68" s="7" t="s">
        <v>2191</v>
      </c>
      <c r="B68" s="29" t="s">
        <v>849</v>
      </c>
      <c r="C68" s="7" t="s">
        <v>2192</v>
      </c>
      <c r="D68" s="30">
        <v>679.25</v>
      </c>
      <c r="E68" s="46"/>
    </row>
    <row r="69" spans="1:5" ht="12.75" outlineLevel="2">
      <c r="A69" s="7" t="s">
        <v>2369</v>
      </c>
      <c r="B69" s="29" t="s">
        <v>1952</v>
      </c>
      <c r="C69" s="7" t="s">
        <v>2370</v>
      </c>
      <c r="D69" s="30">
        <v>365.04</v>
      </c>
      <c r="E69" s="46"/>
    </row>
    <row r="70" spans="1:5" ht="12.75" customHeight="1" outlineLevel="2">
      <c r="A70" s="51" t="s">
        <v>2251</v>
      </c>
      <c r="B70" s="29" t="s">
        <v>1952</v>
      </c>
      <c r="C70" s="7" t="s">
        <v>2393</v>
      </c>
      <c r="D70" s="30">
        <v>400</v>
      </c>
      <c r="E70" s="46"/>
    </row>
    <row r="71" spans="1:5" ht="12.75" customHeight="1" outlineLevel="2">
      <c r="A71" s="51" t="s">
        <v>2251</v>
      </c>
      <c r="B71" s="29" t="s">
        <v>1952</v>
      </c>
      <c r="C71" s="7" t="s">
        <v>2394</v>
      </c>
      <c r="D71" s="30">
        <v>39</v>
      </c>
      <c r="E71" s="46"/>
    </row>
    <row r="72" spans="1:5" ht="12.75" customHeight="1" outlineLevel="2">
      <c r="A72" s="51" t="s">
        <v>2251</v>
      </c>
      <c r="B72" s="29" t="s">
        <v>1952</v>
      </c>
      <c r="C72" s="7" t="s">
        <v>2390</v>
      </c>
      <c r="D72" s="30">
        <v>311.11</v>
      </c>
      <c r="E72" s="46"/>
    </row>
    <row r="73" spans="1:5" ht="12.75" outlineLevel="2">
      <c r="A73" s="7" t="s">
        <v>1791</v>
      </c>
      <c r="B73" s="29" t="s">
        <v>1958</v>
      </c>
      <c r="C73" s="7" t="s">
        <v>1792</v>
      </c>
      <c r="D73" s="30">
        <v>350.52</v>
      </c>
      <c r="E73" s="46"/>
    </row>
    <row r="74" spans="1:5" ht="12.75" outlineLevel="2">
      <c r="A74" s="51" t="s">
        <v>220</v>
      </c>
      <c r="B74" s="52" t="s">
        <v>1961</v>
      </c>
      <c r="C74" s="51" t="s">
        <v>221</v>
      </c>
      <c r="D74" s="30">
        <v>713.9</v>
      </c>
      <c r="E74" s="46"/>
    </row>
    <row r="75" spans="1:5" ht="12.75" outlineLevel="2">
      <c r="A75" s="51" t="s">
        <v>1418</v>
      </c>
      <c r="B75" s="52" t="s">
        <v>1961</v>
      </c>
      <c r="C75" s="51" t="s">
        <v>1419</v>
      </c>
      <c r="D75" s="30">
        <v>2000</v>
      </c>
      <c r="E75" s="46"/>
    </row>
    <row r="76" spans="1:5" ht="12.75" outlineLevel="1">
      <c r="A76" s="117" t="s">
        <v>1341</v>
      </c>
      <c r="B76" s="118"/>
      <c r="C76" s="119"/>
      <c r="D76" s="28">
        <f>SUM(D77:D86)</f>
        <v>10082</v>
      </c>
      <c r="E76" s="46"/>
    </row>
    <row r="77" spans="1:5" ht="12.75" outlineLevel="2">
      <c r="A77" s="7" t="s">
        <v>132</v>
      </c>
      <c r="B77" s="29" t="s">
        <v>849</v>
      </c>
      <c r="C77" s="7" t="s">
        <v>133</v>
      </c>
      <c r="D77" s="30">
        <v>2170</v>
      </c>
      <c r="E77" s="46"/>
    </row>
    <row r="78" spans="1:5" ht="12.75" outlineLevel="2">
      <c r="A78" s="7" t="s">
        <v>134</v>
      </c>
      <c r="B78" s="29" t="s">
        <v>849</v>
      </c>
      <c r="C78" s="7" t="s">
        <v>135</v>
      </c>
      <c r="D78" s="30">
        <v>325</v>
      </c>
      <c r="E78" s="46"/>
    </row>
    <row r="79" spans="1:5" ht="12.75" outlineLevel="2">
      <c r="A79" s="7" t="s">
        <v>1191</v>
      </c>
      <c r="B79" s="29" t="s">
        <v>849</v>
      </c>
      <c r="C79" s="7" t="s">
        <v>1194</v>
      </c>
      <c r="D79" s="30">
        <v>321</v>
      </c>
      <c r="E79" s="46"/>
    </row>
    <row r="80" spans="1:5" ht="12.75" outlineLevel="2">
      <c r="A80" s="7" t="s">
        <v>1735</v>
      </c>
      <c r="B80" s="29" t="s">
        <v>849</v>
      </c>
      <c r="C80" s="7" t="s">
        <v>1736</v>
      </c>
      <c r="D80" s="30">
        <v>1035</v>
      </c>
      <c r="E80" s="46"/>
    </row>
    <row r="81" spans="1:5" ht="12.75" outlineLevel="2">
      <c r="A81" s="7" t="s">
        <v>1784</v>
      </c>
      <c r="B81" s="29" t="s">
        <v>849</v>
      </c>
      <c r="C81" s="7" t="s">
        <v>1783</v>
      </c>
      <c r="D81" s="30">
        <v>357</v>
      </c>
      <c r="E81" s="46"/>
    </row>
    <row r="82" spans="1:5" ht="25.5" outlineLevel="2">
      <c r="A82" s="7" t="s">
        <v>311</v>
      </c>
      <c r="B82" s="29" t="s">
        <v>1951</v>
      </c>
      <c r="C82" s="7" t="s">
        <v>353</v>
      </c>
      <c r="D82" s="30">
        <v>2476</v>
      </c>
      <c r="E82" s="46"/>
    </row>
    <row r="83" spans="1:5" ht="12.75" outlineLevel="2">
      <c r="A83" s="7" t="s">
        <v>507</v>
      </c>
      <c r="B83" s="29" t="s">
        <v>1952</v>
      </c>
      <c r="C83" s="7" t="s">
        <v>508</v>
      </c>
      <c r="D83" s="30">
        <v>658</v>
      </c>
      <c r="E83" s="46"/>
    </row>
    <row r="84" spans="1:5" ht="12.75" outlineLevel="2">
      <c r="A84" s="7" t="s">
        <v>2441</v>
      </c>
      <c r="B84" s="29" t="s">
        <v>1953</v>
      </c>
      <c r="C84" s="7" t="s">
        <v>2442</v>
      </c>
      <c r="D84" s="30">
        <v>1204</v>
      </c>
      <c r="E84" s="46"/>
    </row>
    <row r="85" spans="1:5" ht="12.75" outlineLevel="2">
      <c r="A85" s="7" t="s">
        <v>1280</v>
      </c>
      <c r="B85" s="29" t="s">
        <v>1954</v>
      </c>
      <c r="C85" s="7" t="s">
        <v>1281</v>
      </c>
      <c r="D85" s="30">
        <v>576</v>
      </c>
      <c r="E85" s="46"/>
    </row>
    <row r="86" spans="1:5" ht="12.75" outlineLevel="2">
      <c r="A86" s="7" t="s">
        <v>984</v>
      </c>
      <c r="B86" s="29" t="s">
        <v>1955</v>
      </c>
      <c r="C86" s="7" t="s">
        <v>985</v>
      </c>
      <c r="D86" s="30">
        <v>960</v>
      </c>
      <c r="E86" s="46"/>
    </row>
    <row r="87" spans="1:5" ht="12.75" customHeight="1">
      <c r="A87" s="129" t="s">
        <v>1349</v>
      </c>
      <c r="B87" s="130"/>
      <c r="C87" s="131"/>
      <c r="D87" s="32">
        <v>18797</v>
      </c>
      <c r="E87" s="45"/>
    </row>
    <row r="88" spans="1:5" ht="12.75" outlineLevel="1">
      <c r="A88" s="13" t="s">
        <v>52</v>
      </c>
      <c r="B88" s="52" t="s">
        <v>1959</v>
      </c>
      <c r="C88" s="71" t="s">
        <v>51</v>
      </c>
      <c r="D88" s="36">
        <v>18797</v>
      </c>
      <c r="E88" s="46"/>
    </row>
    <row r="89" spans="1:6" ht="12.75">
      <c r="A89" s="6">
        <v>3952.1</v>
      </c>
      <c r="B89" s="6" t="s">
        <v>1356</v>
      </c>
      <c r="C89" s="37" t="s">
        <v>1345</v>
      </c>
      <c r="D89" s="23">
        <f>(3952.1*6*1.46)+(3952.1*6*1.63)</f>
        <v>73271.934</v>
      </c>
      <c r="E89" s="46"/>
      <c r="F89" s="37" t="s">
        <v>1352</v>
      </c>
    </row>
    <row r="90" spans="1:6" ht="13.5" thickBot="1">
      <c r="A90" s="6">
        <v>3952.1</v>
      </c>
      <c r="B90" s="6" t="s">
        <v>1356</v>
      </c>
      <c r="C90" s="37" t="s">
        <v>1357</v>
      </c>
      <c r="D90" s="23">
        <f>(3952.1*6*0.1)+(3952.1*6*0.11)</f>
        <v>4979.646</v>
      </c>
      <c r="E90" s="46"/>
      <c r="F90" s="37" t="s">
        <v>1351</v>
      </c>
    </row>
    <row r="91" spans="1:6" ht="12.75" customHeight="1" thickTop="1">
      <c r="A91" s="132" t="s">
        <v>1361</v>
      </c>
      <c r="B91" s="133"/>
      <c r="C91" s="134"/>
      <c r="D91" s="76">
        <f>(3952.1*6*0.94)+(3952.1*6*1.03)</f>
        <v>46713.822</v>
      </c>
      <c r="E91" s="48"/>
      <c r="F91" s="14" t="s">
        <v>787</v>
      </c>
    </row>
    <row r="92" spans="1:6" ht="12.75" customHeight="1">
      <c r="A92" s="125" t="s">
        <v>1350</v>
      </c>
      <c r="B92" s="126"/>
      <c r="C92" s="127"/>
      <c r="D92" s="76">
        <f>(3952.1*6*1.57)+(3952.1*6*1.75)</f>
        <v>78725.832</v>
      </c>
      <c r="E92" s="48"/>
      <c r="F92" s="14" t="s">
        <v>788</v>
      </c>
    </row>
    <row r="93" spans="1:6" ht="12.75" customHeight="1">
      <c r="A93" s="125" t="s">
        <v>1362</v>
      </c>
      <c r="B93" s="126"/>
      <c r="C93" s="127"/>
      <c r="D93" s="16">
        <f>10.3*(D95+D96)/100</f>
        <v>110640.86754</v>
      </c>
      <c r="E93" s="48"/>
      <c r="F93" s="14" t="s">
        <v>789</v>
      </c>
    </row>
    <row r="94" spans="1:6" ht="12.75" customHeight="1">
      <c r="A94" s="120" t="s">
        <v>1363</v>
      </c>
      <c r="B94" s="121"/>
      <c r="C94" s="122"/>
      <c r="D94" s="41">
        <f>D93+D92+D91+D7+D3</f>
        <v>645193.67154</v>
      </c>
      <c r="E94" s="48">
        <v>1</v>
      </c>
      <c r="F94" s="14" t="s">
        <v>790</v>
      </c>
    </row>
    <row r="95" spans="1:6" ht="12.75" customHeight="1">
      <c r="A95" s="114" t="s">
        <v>1364</v>
      </c>
      <c r="B95" s="115"/>
      <c r="C95" s="116"/>
      <c r="D95" s="18">
        <v>943763.88</v>
      </c>
      <c r="E95" s="48">
        <v>2</v>
      </c>
      <c r="F95" s="27"/>
    </row>
    <row r="96" spans="1:6" ht="12.75" customHeight="1">
      <c r="A96" s="114" t="s">
        <v>1365</v>
      </c>
      <c r="B96" s="115"/>
      <c r="C96" s="116"/>
      <c r="D96" s="18">
        <v>130419.3</v>
      </c>
      <c r="E96" s="48">
        <v>3</v>
      </c>
      <c r="F96" s="37" t="s">
        <v>1352</v>
      </c>
    </row>
    <row r="97" spans="1:6" ht="12.75" customHeight="1">
      <c r="A97" s="114" t="s">
        <v>2221</v>
      </c>
      <c r="B97" s="115"/>
      <c r="C97" s="116"/>
      <c r="D97" s="19">
        <f>1084024.75+D95+D98</f>
        <v>2047997.23</v>
      </c>
      <c r="E97" s="48">
        <v>4</v>
      </c>
      <c r="F97" s="37" t="s">
        <v>791</v>
      </c>
    </row>
    <row r="98" spans="1:6" ht="24" customHeight="1">
      <c r="A98" s="114" t="s">
        <v>639</v>
      </c>
      <c r="B98" s="115"/>
      <c r="C98" s="116"/>
      <c r="D98" s="19">
        <v>20208.6</v>
      </c>
      <c r="E98" s="48"/>
      <c r="F98" s="37"/>
    </row>
    <row r="99" spans="1:6" ht="13.5" customHeight="1">
      <c r="A99" s="114" t="s">
        <v>2222</v>
      </c>
      <c r="B99" s="115"/>
      <c r="C99" s="116"/>
      <c r="D99" s="19">
        <f>846384.89+D105+D100</f>
        <v>1666710.1500000001</v>
      </c>
      <c r="E99" s="48">
        <v>5</v>
      </c>
      <c r="F99" s="14" t="s">
        <v>843</v>
      </c>
    </row>
    <row r="100" spans="1:6" ht="23.25" customHeight="1">
      <c r="A100" s="114" t="s">
        <v>640</v>
      </c>
      <c r="B100" s="115"/>
      <c r="C100" s="116"/>
      <c r="D100" s="19">
        <v>20208.6</v>
      </c>
      <c r="E100" s="48"/>
      <c r="F100" s="14"/>
    </row>
    <row r="101" spans="1:6" ht="25.5" customHeight="1">
      <c r="A101" s="120" t="s">
        <v>2223</v>
      </c>
      <c r="B101" s="121"/>
      <c r="C101" s="122"/>
      <c r="D101" s="42">
        <f>780742.89+D94</f>
        <v>1425936.5615400001</v>
      </c>
      <c r="E101" s="48">
        <v>6</v>
      </c>
      <c r="F101" s="14" t="s">
        <v>844</v>
      </c>
    </row>
    <row r="102" spans="1:6" ht="12.75" customHeight="1">
      <c r="A102" s="114" t="s">
        <v>2224</v>
      </c>
      <c r="B102" s="115"/>
      <c r="C102" s="116"/>
      <c r="D102" s="19">
        <f>149743.2+D96</f>
        <v>280162.5</v>
      </c>
      <c r="E102" s="48">
        <v>7</v>
      </c>
      <c r="F102" s="14" t="s">
        <v>845</v>
      </c>
    </row>
    <row r="103" spans="1:6" ht="12.75" customHeight="1">
      <c r="A103" s="114" t="s">
        <v>2225</v>
      </c>
      <c r="B103" s="115"/>
      <c r="C103" s="116"/>
      <c r="D103" s="19">
        <f>116854.8+D106</f>
        <v>227423.40000000002</v>
      </c>
      <c r="E103" s="48">
        <v>8</v>
      </c>
      <c r="F103" s="14" t="s">
        <v>787</v>
      </c>
    </row>
    <row r="104" spans="1:6" ht="12.75" customHeight="1">
      <c r="A104" s="120" t="s">
        <v>2226</v>
      </c>
      <c r="B104" s="121"/>
      <c r="C104" s="122"/>
      <c r="D104" s="42">
        <f>0+D107</f>
        <v>18797</v>
      </c>
      <c r="E104" s="48">
        <v>9</v>
      </c>
      <c r="F104" s="14" t="s">
        <v>846</v>
      </c>
    </row>
    <row r="105" spans="1:6" ht="12.75" customHeight="1">
      <c r="A105" s="114" t="s">
        <v>779</v>
      </c>
      <c r="B105" s="115"/>
      <c r="C105" s="116"/>
      <c r="D105" s="18">
        <v>800116.66</v>
      </c>
      <c r="E105" s="48">
        <v>10</v>
      </c>
      <c r="F105" s="14" t="s">
        <v>847</v>
      </c>
    </row>
    <row r="106" spans="1:6" ht="12.75" customHeight="1">
      <c r="A106" s="114" t="s">
        <v>780</v>
      </c>
      <c r="B106" s="115"/>
      <c r="C106" s="116"/>
      <c r="D106" s="18">
        <v>110568.6</v>
      </c>
      <c r="E106" s="48">
        <v>11</v>
      </c>
      <c r="F106" s="14" t="s">
        <v>848</v>
      </c>
    </row>
    <row r="107" spans="1:6" ht="12.75" customHeight="1">
      <c r="A107" s="120" t="s">
        <v>781</v>
      </c>
      <c r="B107" s="121"/>
      <c r="C107" s="122"/>
      <c r="D107" s="41">
        <f>D87</f>
        <v>18797</v>
      </c>
      <c r="E107" s="48">
        <v>12</v>
      </c>
      <c r="F107" s="43"/>
    </row>
    <row r="108" spans="1:6" ht="27" customHeight="1">
      <c r="A108" s="108" t="s">
        <v>782</v>
      </c>
      <c r="B108" s="109"/>
      <c r="C108" s="110"/>
      <c r="D108" s="26">
        <f>D97-D101</f>
        <v>622060.6684599998</v>
      </c>
      <c r="E108" s="48">
        <v>13</v>
      </c>
      <c r="F108" s="43"/>
    </row>
    <row r="109" spans="1:6" ht="25.5" customHeight="1">
      <c r="A109" s="108" t="s">
        <v>783</v>
      </c>
      <c r="B109" s="109"/>
      <c r="C109" s="110"/>
      <c r="D109" s="26">
        <f>D102-D104</f>
        <v>261365.5</v>
      </c>
      <c r="E109" s="48">
        <v>14</v>
      </c>
      <c r="F109" s="43"/>
    </row>
    <row r="110" spans="1:6" ht="25.5" customHeight="1">
      <c r="A110" s="108" t="s">
        <v>784</v>
      </c>
      <c r="B110" s="109"/>
      <c r="C110" s="110"/>
      <c r="D110" s="26">
        <f>D99-D101</f>
        <v>240773.58846</v>
      </c>
      <c r="E110" s="48">
        <v>15</v>
      </c>
      <c r="F110" s="43"/>
    </row>
    <row r="111" ht="12.75">
      <c r="F111" s="43"/>
    </row>
  </sheetData>
  <sheetProtection/>
  <mergeCells count="31">
    <mergeCell ref="A93:C93"/>
    <mergeCell ref="A91:C91"/>
    <mergeCell ref="A94:C94"/>
    <mergeCell ref="A95:C95"/>
    <mergeCell ref="A7:C7"/>
    <mergeCell ref="A8:C8"/>
    <mergeCell ref="A76:C76"/>
    <mergeCell ref="A87:C87"/>
    <mergeCell ref="A52:C52"/>
    <mergeCell ref="A65:C65"/>
    <mergeCell ref="A96:C96"/>
    <mergeCell ref="A97:C97"/>
    <mergeCell ref="A100:C100"/>
    <mergeCell ref="A107:C107"/>
    <mergeCell ref="A98:C98"/>
    <mergeCell ref="A99:C99"/>
    <mergeCell ref="A101:C101"/>
    <mergeCell ref="A1:D1"/>
    <mergeCell ref="A45:C45"/>
    <mergeCell ref="A49:C49"/>
    <mergeCell ref="A3:C3"/>
    <mergeCell ref="A4:C4"/>
    <mergeCell ref="A92:C92"/>
    <mergeCell ref="A110:C110"/>
    <mergeCell ref="A103:C103"/>
    <mergeCell ref="A104:C104"/>
    <mergeCell ref="A105:C105"/>
    <mergeCell ref="A106:C106"/>
    <mergeCell ref="A102:C102"/>
    <mergeCell ref="A109:C109"/>
    <mergeCell ref="A108:C108"/>
  </mergeCells>
  <printOptions/>
  <pageMargins left="0.27" right="0.17" top="0.19" bottom="0.24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17" sqref="A1:D117"/>
    </sheetView>
  </sheetViews>
  <sheetFormatPr defaultColWidth="13.421875" defaultRowHeight="12.75" outlineLevelRow="2"/>
  <cols>
    <col min="1" max="1" width="13.7109375" style="1" customWidth="1"/>
    <col min="2" max="2" width="9.85156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4.75" customHeight="1" thickBot="1">
      <c r="A1" s="135" t="s">
        <v>1618</v>
      </c>
      <c r="B1" s="136"/>
      <c r="C1" s="136"/>
      <c r="D1" s="136"/>
    </row>
    <row r="2" spans="1:5" ht="28.5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8767</v>
      </c>
      <c r="E3" s="45"/>
    </row>
    <row r="4" spans="1:5" ht="12.75" outlineLevel="1">
      <c r="A4" s="117" t="s">
        <v>1355</v>
      </c>
      <c r="B4" s="118"/>
      <c r="C4" s="119"/>
      <c r="D4" s="28">
        <f>SUM(D5:D5)</f>
        <v>8767</v>
      </c>
      <c r="E4" s="46"/>
    </row>
    <row r="5" spans="1:5" ht="12.75" outlineLevel="2">
      <c r="A5" s="51" t="s">
        <v>89</v>
      </c>
      <c r="B5" s="52" t="s">
        <v>1960</v>
      </c>
      <c r="C5" s="63" t="s">
        <v>90</v>
      </c>
      <c r="D5" s="30">
        <v>8767</v>
      </c>
      <c r="E5" s="46"/>
    </row>
    <row r="6" spans="1:5" ht="13.5" customHeight="1" thickBot="1">
      <c r="A6" s="124" t="s">
        <v>1343</v>
      </c>
      <c r="B6" s="124"/>
      <c r="C6" s="124"/>
      <c r="D6" s="25">
        <f>D7+D56+D58+D71+D83+D93+D98+D99</f>
        <v>395610.69</v>
      </c>
      <c r="E6" s="45"/>
    </row>
    <row r="7" spans="1:5" ht="13.5" outlineLevel="1" thickTop="1">
      <c r="A7" s="111" t="s">
        <v>1354</v>
      </c>
      <c r="B7" s="112"/>
      <c r="C7" s="113"/>
      <c r="D7" s="28">
        <f>SUM(D8:D55)</f>
        <v>101212.63</v>
      </c>
      <c r="E7" s="46"/>
    </row>
    <row r="8" spans="1:5" ht="12.75" outlineLevel="2">
      <c r="A8" s="7" t="s">
        <v>1064</v>
      </c>
      <c r="B8" s="29" t="s">
        <v>849</v>
      </c>
      <c r="C8" s="51" t="s">
        <v>2261</v>
      </c>
      <c r="D8" s="30">
        <v>2753</v>
      </c>
      <c r="E8" s="46"/>
    </row>
    <row r="9" spans="1:5" ht="12.75" outlineLevel="2">
      <c r="A9" s="7" t="s">
        <v>1140</v>
      </c>
      <c r="B9" s="29" t="s">
        <v>849</v>
      </c>
      <c r="C9" s="7" t="s">
        <v>1142</v>
      </c>
      <c r="D9" s="30">
        <v>902</v>
      </c>
      <c r="E9" s="46"/>
    </row>
    <row r="10" spans="1:5" ht="12.75" outlineLevel="2">
      <c r="A10" s="7" t="s">
        <v>1143</v>
      </c>
      <c r="B10" s="29" t="s">
        <v>849</v>
      </c>
      <c r="C10" s="7" t="s">
        <v>1144</v>
      </c>
      <c r="D10" s="30">
        <v>1753</v>
      </c>
      <c r="E10" s="46"/>
    </row>
    <row r="11" spans="1:5" ht="12.75" outlineLevel="2">
      <c r="A11" s="7" t="s">
        <v>1163</v>
      </c>
      <c r="B11" s="29" t="s">
        <v>849</v>
      </c>
      <c r="C11" s="7" t="s">
        <v>1164</v>
      </c>
      <c r="D11" s="30">
        <v>3765</v>
      </c>
      <c r="E11" s="46"/>
    </row>
    <row r="12" spans="1:5" ht="12.75" outlineLevel="2">
      <c r="A12" s="7" t="s">
        <v>1755</v>
      </c>
      <c r="B12" s="29" t="s">
        <v>849</v>
      </c>
      <c r="C12" s="7" t="s">
        <v>1760</v>
      </c>
      <c r="D12" s="30">
        <v>284</v>
      </c>
      <c r="E12" s="46"/>
    </row>
    <row r="13" spans="1:5" ht="12.75" outlineLevel="2">
      <c r="A13" s="7" t="s">
        <v>1755</v>
      </c>
      <c r="B13" s="29" t="s">
        <v>849</v>
      </c>
      <c r="C13" s="51" t="s">
        <v>2260</v>
      </c>
      <c r="D13" s="30">
        <v>284</v>
      </c>
      <c r="E13" s="46"/>
    </row>
    <row r="14" spans="1:5" ht="12.75" outlineLevel="2">
      <c r="A14" s="7" t="s">
        <v>1911</v>
      </c>
      <c r="B14" s="29" t="s">
        <v>849</v>
      </c>
      <c r="C14" s="51" t="s">
        <v>2258</v>
      </c>
      <c r="D14" s="30">
        <v>1703</v>
      </c>
      <c r="E14" s="46"/>
    </row>
    <row r="15" spans="1:5" ht="12.75" outlineLevel="2">
      <c r="A15" s="7" t="s">
        <v>1916</v>
      </c>
      <c r="B15" s="29" t="s">
        <v>849</v>
      </c>
      <c r="C15" s="51" t="s">
        <v>2259</v>
      </c>
      <c r="D15" s="30">
        <v>335</v>
      </c>
      <c r="E15" s="46"/>
    </row>
    <row r="16" spans="1:5" ht="12.75" outlineLevel="2">
      <c r="A16" s="7" t="s">
        <v>1923</v>
      </c>
      <c r="B16" s="29" t="s">
        <v>849</v>
      </c>
      <c r="C16" s="7" t="s">
        <v>1924</v>
      </c>
      <c r="D16" s="30">
        <v>530</v>
      </c>
      <c r="E16" s="46"/>
    </row>
    <row r="17" spans="1:5" ht="12.75" outlineLevel="2">
      <c r="A17" s="7" t="s">
        <v>2156</v>
      </c>
      <c r="B17" s="29" t="s">
        <v>849</v>
      </c>
      <c r="C17" s="7" t="s">
        <v>2154</v>
      </c>
      <c r="D17" s="30">
        <v>360</v>
      </c>
      <c r="E17" s="46"/>
    </row>
    <row r="18" spans="1:5" ht="12.75" outlineLevel="2">
      <c r="A18" s="7" t="s">
        <v>715</v>
      </c>
      <c r="B18" s="29" t="s">
        <v>1951</v>
      </c>
      <c r="C18" s="7" t="s">
        <v>225</v>
      </c>
      <c r="D18" s="30">
        <v>1402</v>
      </c>
      <c r="E18" s="46"/>
    </row>
    <row r="19" spans="1:5" ht="12.75" outlineLevel="2">
      <c r="A19" s="7" t="s">
        <v>470</v>
      </c>
      <c r="B19" s="29" t="s">
        <v>1951</v>
      </c>
      <c r="C19" s="7" t="s">
        <v>471</v>
      </c>
      <c r="D19" s="30">
        <v>1721</v>
      </c>
      <c r="E19" s="46"/>
    </row>
    <row r="20" spans="1:5" ht="12.75" outlineLevel="2">
      <c r="A20" s="7" t="s">
        <v>295</v>
      </c>
      <c r="B20" s="29" t="s">
        <v>1951</v>
      </c>
      <c r="C20" s="7" t="s">
        <v>296</v>
      </c>
      <c r="D20" s="30">
        <v>2336</v>
      </c>
      <c r="E20" s="46"/>
    </row>
    <row r="21" spans="1:5" ht="12.75" outlineLevel="2">
      <c r="A21" s="7" t="s">
        <v>1697</v>
      </c>
      <c r="B21" s="29" t="s">
        <v>1952</v>
      </c>
      <c r="C21" s="7" t="s">
        <v>1698</v>
      </c>
      <c r="D21" s="30">
        <v>2042</v>
      </c>
      <c r="E21" s="46"/>
    </row>
    <row r="22" spans="1:5" ht="12.75" outlineLevel="2">
      <c r="A22" s="8" t="s">
        <v>7</v>
      </c>
      <c r="B22" s="29" t="s">
        <v>1952</v>
      </c>
      <c r="C22" s="7" t="s">
        <v>9</v>
      </c>
      <c r="D22" s="31">
        <v>575</v>
      </c>
      <c r="E22" s="46"/>
    </row>
    <row r="23" spans="1:5" ht="12.75" outlineLevel="2">
      <c r="A23" s="8" t="s">
        <v>14</v>
      </c>
      <c r="B23" s="29" t="s">
        <v>1952</v>
      </c>
      <c r="C23" s="7" t="s">
        <v>15</v>
      </c>
      <c r="D23" s="31">
        <v>6764</v>
      </c>
      <c r="E23" s="46"/>
    </row>
    <row r="24" spans="1:5" ht="12.75" outlineLevel="2">
      <c r="A24" s="8" t="s">
        <v>21</v>
      </c>
      <c r="B24" s="29" t="s">
        <v>1952</v>
      </c>
      <c r="C24" s="7" t="s">
        <v>22</v>
      </c>
      <c r="D24" s="31">
        <v>4036</v>
      </c>
      <c r="E24" s="46"/>
    </row>
    <row r="25" spans="1:5" ht="12.75" outlineLevel="2">
      <c r="A25" s="9" t="s">
        <v>499</v>
      </c>
      <c r="B25" s="29" t="s">
        <v>1952</v>
      </c>
      <c r="C25" s="7" t="s">
        <v>501</v>
      </c>
      <c r="D25" s="30">
        <v>575</v>
      </c>
      <c r="E25" s="46"/>
    </row>
    <row r="26" spans="1:5" ht="12.75" outlineLevel="2">
      <c r="A26" s="7" t="s">
        <v>2379</v>
      </c>
      <c r="B26" s="29" t="s">
        <v>1952</v>
      </c>
      <c r="C26" s="51" t="s">
        <v>2257</v>
      </c>
      <c r="D26" s="30">
        <v>94.7</v>
      </c>
      <c r="E26" s="46"/>
    </row>
    <row r="27" spans="1:5" ht="15.75" customHeight="1" outlineLevel="2">
      <c r="A27" s="8" t="s">
        <v>2281</v>
      </c>
      <c r="B27" s="29" t="s">
        <v>1952</v>
      </c>
      <c r="C27" s="7" t="s">
        <v>666</v>
      </c>
      <c r="D27" s="31">
        <v>7.69</v>
      </c>
      <c r="E27" s="46"/>
    </row>
    <row r="28" spans="1:5" ht="15.75" customHeight="1" outlineLevel="2">
      <c r="A28" s="8" t="s">
        <v>2333</v>
      </c>
      <c r="B28" s="29" t="s">
        <v>1953</v>
      </c>
      <c r="C28" s="7" t="s">
        <v>2336</v>
      </c>
      <c r="D28" s="31">
        <v>1225</v>
      </c>
      <c r="E28" s="46"/>
    </row>
    <row r="29" spans="1:5" ht="12.75" outlineLevel="2">
      <c r="A29" s="8" t="s">
        <v>2331</v>
      </c>
      <c r="B29" s="29" t="s">
        <v>1953</v>
      </c>
      <c r="C29" s="7" t="s">
        <v>2332</v>
      </c>
      <c r="D29" s="31">
        <v>6994</v>
      </c>
      <c r="E29" s="46"/>
    </row>
    <row r="30" spans="1:5" ht="12.75" outlineLevel="2">
      <c r="A30" s="8" t="s">
        <v>1321</v>
      </c>
      <c r="B30" s="29" t="s">
        <v>1953</v>
      </c>
      <c r="C30" s="7" t="s">
        <v>1322</v>
      </c>
      <c r="D30" s="31">
        <v>189.4</v>
      </c>
      <c r="E30" s="46"/>
    </row>
    <row r="31" spans="1:5" ht="12.75" outlineLevel="2">
      <c r="A31" s="8" t="s">
        <v>2474</v>
      </c>
      <c r="B31" s="29" t="s">
        <v>1953</v>
      </c>
      <c r="C31" s="7" t="s">
        <v>2475</v>
      </c>
      <c r="D31" s="31">
        <v>4260</v>
      </c>
      <c r="E31" s="46"/>
    </row>
    <row r="32" spans="1:5" ht="12.75" outlineLevel="2">
      <c r="A32" s="8" t="s">
        <v>2667</v>
      </c>
      <c r="B32" s="29" t="s">
        <v>1954</v>
      </c>
      <c r="C32" s="7" t="s">
        <v>2670</v>
      </c>
      <c r="D32" s="31">
        <v>3371</v>
      </c>
      <c r="E32" s="46"/>
    </row>
    <row r="33" spans="1:5" ht="12.75" outlineLevel="2">
      <c r="A33" s="8" t="s">
        <v>587</v>
      </c>
      <c r="B33" s="29" t="s">
        <v>1954</v>
      </c>
      <c r="C33" s="7" t="s">
        <v>559</v>
      </c>
      <c r="D33" s="31">
        <v>138.38</v>
      </c>
      <c r="E33" s="46"/>
    </row>
    <row r="34" spans="1:5" ht="12.75" outlineLevel="2">
      <c r="A34" s="8" t="s">
        <v>2783</v>
      </c>
      <c r="B34" s="29" t="s">
        <v>1954</v>
      </c>
      <c r="C34" s="8" t="s">
        <v>1328</v>
      </c>
      <c r="D34" s="31">
        <v>189.4</v>
      </c>
      <c r="E34" s="46"/>
    </row>
    <row r="35" spans="1:5" ht="12.75" outlineLevel="2">
      <c r="A35" s="8" t="s">
        <v>151</v>
      </c>
      <c r="B35" s="29" t="s">
        <v>1955</v>
      </c>
      <c r="C35" s="8" t="s">
        <v>154</v>
      </c>
      <c r="D35" s="31">
        <v>427</v>
      </c>
      <c r="E35" s="46"/>
    </row>
    <row r="36" spans="1:5" ht="12.75" outlineLevel="2">
      <c r="A36" s="8" t="s">
        <v>181</v>
      </c>
      <c r="B36" s="29" t="s">
        <v>1955</v>
      </c>
      <c r="C36" s="8" t="s">
        <v>972</v>
      </c>
      <c r="D36" s="31">
        <v>1310</v>
      </c>
      <c r="E36" s="46"/>
    </row>
    <row r="37" spans="1:5" ht="12.75" outlineLevel="2">
      <c r="A37" s="8" t="s">
        <v>1035</v>
      </c>
      <c r="B37" s="29" t="s">
        <v>1955</v>
      </c>
      <c r="C37" s="8" t="s">
        <v>1036</v>
      </c>
      <c r="D37" s="31">
        <v>1033</v>
      </c>
      <c r="E37" s="46"/>
    </row>
    <row r="38" spans="1:5" ht="12.75" outlineLevel="2">
      <c r="A38" s="8" t="s">
        <v>437</v>
      </c>
      <c r="B38" s="29" t="s">
        <v>1955</v>
      </c>
      <c r="C38" s="8" t="s">
        <v>438</v>
      </c>
      <c r="D38" s="31">
        <v>5292</v>
      </c>
      <c r="E38" s="46"/>
    </row>
    <row r="39" spans="1:5" ht="12.75" outlineLevel="2">
      <c r="A39" s="8" t="s">
        <v>1930</v>
      </c>
      <c r="B39" s="29" t="s">
        <v>1955</v>
      </c>
      <c r="C39" s="8" t="s">
        <v>438</v>
      </c>
      <c r="D39" s="31">
        <v>2903.68</v>
      </c>
      <c r="E39" s="46"/>
    </row>
    <row r="40" spans="1:5" ht="12.75" outlineLevel="2">
      <c r="A40" s="7" t="s">
        <v>2589</v>
      </c>
      <c r="B40" s="7" t="s">
        <v>1957</v>
      </c>
      <c r="C40" s="7" t="s">
        <v>2590</v>
      </c>
      <c r="D40" s="31">
        <v>7.69</v>
      </c>
      <c r="E40" s="46"/>
    </row>
    <row r="41" spans="1:5" ht="12.75" outlineLevel="2">
      <c r="A41" s="8" t="s">
        <v>2722</v>
      </c>
      <c r="B41" s="29" t="s">
        <v>1957</v>
      </c>
      <c r="C41" s="7" t="s">
        <v>2724</v>
      </c>
      <c r="D41" s="31">
        <v>630</v>
      </c>
      <c r="E41" s="46"/>
    </row>
    <row r="42" spans="1:5" ht="12.75" outlineLevel="2">
      <c r="A42" s="8" t="s">
        <v>349</v>
      </c>
      <c r="B42" s="29" t="s">
        <v>1958</v>
      </c>
      <c r="C42" s="7" t="s">
        <v>351</v>
      </c>
      <c r="D42" s="31">
        <v>1904</v>
      </c>
      <c r="E42" s="46"/>
    </row>
    <row r="43" spans="1:5" ht="12.75" outlineLevel="2">
      <c r="A43" s="8" t="s">
        <v>2123</v>
      </c>
      <c r="B43" s="29" t="s">
        <v>1959</v>
      </c>
      <c r="C43" s="7" t="s">
        <v>2124</v>
      </c>
      <c r="D43" s="31">
        <v>7417</v>
      </c>
      <c r="E43" s="46"/>
    </row>
    <row r="44" spans="1:5" ht="12.75" outlineLevel="2">
      <c r="A44" s="8" t="s">
        <v>2004</v>
      </c>
      <c r="B44" s="29" t="s">
        <v>1959</v>
      </c>
      <c r="C44" s="7" t="s">
        <v>2005</v>
      </c>
      <c r="D44" s="31">
        <v>3045.43</v>
      </c>
      <c r="E44" s="46"/>
    </row>
    <row r="45" spans="1:5" ht="12.75" outlineLevel="2">
      <c r="A45" s="8" t="s">
        <v>871</v>
      </c>
      <c r="B45" s="29" t="s">
        <v>1959</v>
      </c>
      <c r="C45" s="7" t="s">
        <v>2727</v>
      </c>
      <c r="D45" s="30">
        <v>1334.41</v>
      </c>
      <c r="E45" s="46"/>
    </row>
    <row r="46" spans="1:5" ht="12.75" outlineLevel="2">
      <c r="A46" s="8" t="s">
        <v>2036</v>
      </c>
      <c r="B46" s="29" t="s">
        <v>1960</v>
      </c>
      <c r="C46" s="7" t="s">
        <v>2038</v>
      </c>
      <c r="D46" s="31">
        <v>498.39</v>
      </c>
      <c r="E46" s="46"/>
    </row>
    <row r="47" spans="1:5" ht="12.75" outlineLevel="2">
      <c r="A47" s="8" t="s">
        <v>2748</v>
      </c>
      <c r="B47" s="29" t="s">
        <v>1960</v>
      </c>
      <c r="C47" s="7" t="s">
        <v>2749</v>
      </c>
      <c r="D47" s="31">
        <v>482.84</v>
      </c>
      <c r="E47" s="46"/>
    </row>
    <row r="48" spans="1:5" ht="12.75" outlineLevel="2">
      <c r="A48" s="8" t="s">
        <v>290</v>
      </c>
      <c r="B48" s="29" t="s">
        <v>1960</v>
      </c>
      <c r="C48" s="7" t="s">
        <v>291</v>
      </c>
      <c r="D48" s="31">
        <v>10120.55</v>
      </c>
      <c r="E48" s="46"/>
    </row>
    <row r="49" spans="1:5" ht="12.75" outlineLevel="2">
      <c r="A49" s="8" t="s">
        <v>953</v>
      </c>
      <c r="B49" s="29" t="s">
        <v>1960</v>
      </c>
      <c r="C49" s="7" t="s">
        <v>924</v>
      </c>
      <c r="D49" s="30">
        <v>2272.8</v>
      </c>
      <c r="E49" s="46"/>
    </row>
    <row r="50" spans="1:5" ht="25.5" outlineLevel="2">
      <c r="A50" s="8" t="s">
        <v>726</v>
      </c>
      <c r="B50" s="29" t="s">
        <v>1961</v>
      </c>
      <c r="C50" s="7" t="s">
        <v>727</v>
      </c>
      <c r="D50" s="31">
        <v>5524</v>
      </c>
      <c r="E50" s="46"/>
    </row>
    <row r="51" spans="1:5" ht="13.5" customHeight="1" outlineLevel="2">
      <c r="A51" s="8" t="s">
        <v>1378</v>
      </c>
      <c r="B51" s="29" t="s">
        <v>1961</v>
      </c>
      <c r="C51" s="7" t="s">
        <v>1379</v>
      </c>
      <c r="D51" s="31">
        <v>5539</v>
      </c>
      <c r="E51" s="46"/>
    </row>
    <row r="52" spans="1:5" ht="12.75" outlineLevel="2">
      <c r="A52" s="55" t="s">
        <v>1461</v>
      </c>
      <c r="B52" s="52" t="s">
        <v>1961</v>
      </c>
      <c r="C52" s="51" t="s">
        <v>1462</v>
      </c>
      <c r="D52" s="31">
        <v>602.2</v>
      </c>
      <c r="E52" s="46"/>
    </row>
    <row r="53" spans="1:5" ht="12.75" outlineLevel="2">
      <c r="A53" s="55" t="s">
        <v>1495</v>
      </c>
      <c r="B53" s="52" t="s">
        <v>1961</v>
      </c>
      <c r="C53" s="51" t="s">
        <v>1496</v>
      </c>
      <c r="D53" s="31">
        <v>2256</v>
      </c>
      <c r="E53" s="46"/>
    </row>
    <row r="54" spans="1:5" ht="12.75" outlineLevel="2">
      <c r="A54" s="8" t="s">
        <v>1526</v>
      </c>
      <c r="B54" s="52" t="s">
        <v>1961</v>
      </c>
      <c r="C54" s="55" t="s">
        <v>1516</v>
      </c>
      <c r="D54" s="31">
        <v>7.69</v>
      </c>
      <c r="E54" s="46"/>
    </row>
    <row r="55" spans="1:5" ht="12.75" outlineLevel="2">
      <c r="A55" s="8" t="s">
        <v>1527</v>
      </c>
      <c r="B55" s="52" t="s">
        <v>1961</v>
      </c>
      <c r="C55" s="55" t="s">
        <v>1516</v>
      </c>
      <c r="D55" s="31">
        <v>15.38</v>
      </c>
      <c r="E55" s="46"/>
    </row>
    <row r="56" spans="1:5" ht="12.75" customHeight="1" outlineLevel="1">
      <c r="A56" s="117" t="s">
        <v>1342</v>
      </c>
      <c r="B56" s="118"/>
      <c r="C56" s="119"/>
      <c r="D56" s="28">
        <f>SUM(D57:D57)</f>
        <v>24375</v>
      </c>
      <c r="E56" s="46"/>
    </row>
    <row r="57" spans="1:5" ht="12.75" outlineLevel="2">
      <c r="A57" s="7" t="s">
        <v>1228</v>
      </c>
      <c r="B57" s="29" t="s">
        <v>1957</v>
      </c>
      <c r="C57" s="7" t="s">
        <v>1220</v>
      </c>
      <c r="D57" s="30">
        <v>24375</v>
      </c>
      <c r="E57" s="46"/>
    </row>
    <row r="58" spans="1:5" ht="12.75" customHeight="1" outlineLevel="1">
      <c r="A58" s="117" t="s">
        <v>1344</v>
      </c>
      <c r="B58" s="118"/>
      <c r="C58" s="119"/>
      <c r="D58" s="28">
        <f>SUM(D59:D70)</f>
        <v>165172.83999999997</v>
      </c>
      <c r="E58" s="46"/>
    </row>
    <row r="59" spans="1:5" ht="12.75" outlineLevel="2">
      <c r="A59" s="7"/>
      <c r="B59" s="29" t="s">
        <v>849</v>
      </c>
      <c r="C59" s="7" t="s">
        <v>1950</v>
      </c>
      <c r="D59" s="30">
        <f>3046.87+2661.19+1581.29+3741.1+1619.86+1002.77</f>
        <v>13653.08</v>
      </c>
      <c r="E59" s="46"/>
    </row>
    <row r="60" spans="1:5" ht="12.75" outlineLevel="2">
      <c r="A60" s="7"/>
      <c r="B60" s="29" t="s">
        <v>1951</v>
      </c>
      <c r="C60" s="7" t="s">
        <v>1950</v>
      </c>
      <c r="D60" s="30">
        <f>3046.87+2661.19+1581.29+3741.1+1619.86+1002.77</f>
        <v>13653.08</v>
      </c>
      <c r="E60" s="46"/>
    </row>
    <row r="61" spans="1:5" ht="12.75" outlineLevel="2">
      <c r="A61" s="7"/>
      <c r="B61" s="29" t="s">
        <v>1952</v>
      </c>
      <c r="C61" s="7" t="s">
        <v>1950</v>
      </c>
      <c r="D61" s="30">
        <f>3046.87+2661.19+1581.29+3741.1+1619.86+1002.77+231.41</f>
        <v>13884.49</v>
      </c>
      <c r="E61" s="46"/>
    </row>
    <row r="62" spans="1:5" ht="12.75" outlineLevel="2">
      <c r="A62" s="7"/>
      <c r="B62" s="29" t="s">
        <v>1953</v>
      </c>
      <c r="C62" s="7" t="s">
        <v>1950</v>
      </c>
      <c r="D62" s="30">
        <f>3046.87+2352.65+5322.38+1542.72+1002.77+231.41</f>
        <v>13498.800000000001</v>
      </c>
      <c r="E62" s="46"/>
    </row>
    <row r="63" spans="1:5" ht="12.75" outlineLevel="2">
      <c r="A63" s="7"/>
      <c r="B63" s="29" t="s">
        <v>1954</v>
      </c>
      <c r="C63" s="7" t="s">
        <v>1950</v>
      </c>
      <c r="D63" s="30">
        <f>3046.87+2044.1+5245.25+1427.02+964.2+231.41</f>
        <v>12958.85</v>
      </c>
      <c r="E63" s="46"/>
    </row>
    <row r="64" spans="1:5" ht="12.75" outlineLevel="2">
      <c r="A64" s="7"/>
      <c r="B64" s="29" t="s">
        <v>1955</v>
      </c>
      <c r="C64" s="7" t="s">
        <v>1950</v>
      </c>
      <c r="D64" s="30">
        <f>1523.44+1022.05+2661.19+713.51+482.1</f>
        <v>6402.290000000001</v>
      </c>
      <c r="E64" s="46"/>
    </row>
    <row r="65" spans="1:5" ht="12.75" outlineLevel="2">
      <c r="A65" s="7"/>
      <c r="B65" s="29" t="s">
        <v>1956</v>
      </c>
      <c r="C65" s="7" t="s">
        <v>1950</v>
      </c>
      <c r="D65" s="30">
        <f>3393.98+2275.51+5939.47+1581.29+1079.9+2429.78</f>
        <v>16699.93</v>
      </c>
      <c r="E65" s="46"/>
    </row>
    <row r="66" spans="1:5" ht="12.75" outlineLevel="2">
      <c r="A66" s="7"/>
      <c r="B66" s="29" t="s">
        <v>1957</v>
      </c>
      <c r="C66" s="7" t="s">
        <v>1950</v>
      </c>
      <c r="D66" s="30">
        <f>3393.98+2275.51+5939.47+1581.29+1079.9+2429.78</f>
        <v>16699.93</v>
      </c>
      <c r="E66" s="46"/>
    </row>
    <row r="67" spans="1:5" ht="12.75" customHeight="1" outlineLevel="2">
      <c r="A67" s="7"/>
      <c r="B67" s="29" t="s">
        <v>1958</v>
      </c>
      <c r="C67" s="7" t="s">
        <v>1950</v>
      </c>
      <c r="D67" s="20">
        <f>3393.98+2275.51+5939.47+1581.29+1079.9</f>
        <v>14270.15</v>
      </c>
      <c r="E67" s="46"/>
    </row>
    <row r="68" spans="1:5" ht="12.75" outlineLevel="2">
      <c r="A68" s="7"/>
      <c r="B68" s="29" t="s">
        <v>1959</v>
      </c>
      <c r="C68" s="7" t="s">
        <v>1950</v>
      </c>
      <c r="D68" s="30">
        <f>3393.98+2275.51+5939.47+1581.29+464.36</f>
        <v>13654.61</v>
      </c>
      <c r="E68" s="46"/>
    </row>
    <row r="69" spans="1:5" ht="12.75" outlineLevel="2">
      <c r="A69" s="7"/>
      <c r="B69" s="29" t="s">
        <v>1960</v>
      </c>
      <c r="C69" s="7" t="s">
        <v>1950</v>
      </c>
      <c r="D69" s="30">
        <f>3393.98+2969.74+1774.13+4165.34+1812.7+1079.9</f>
        <v>15195.789999999999</v>
      </c>
      <c r="E69" s="46"/>
    </row>
    <row r="70" spans="1:5" ht="12.75" outlineLevel="2">
      <c r="A70" s="11"/>
      <c r="B70" s="29" t="s">
        <v>1961</v>
      </c>
      <c r="C70" s="7" t="s">
        <v>1950</v>
      </c>
      <c r="D70" s="30">
        <f>3393.98+2375.79+1774.13+4165.34+1812.7+1079.9</f>
        <v>14601.840000000002</v>
      </c>
      <c r="E70" s="46"/>
    </row>
    <row r="71" spans="1:5" ht="12.75" customHeight="1" outlineLevel="1">
      <c r="A71" s="117" t="s">
        <v>1346</v>
      </c>
      <c r="B71" s="118"/>
      <c r="C71" s="119"/>
      <c r="D71" s="28">
        <f>SUM(D72:D82)</f>
        <v>8507.89</v>
      </c>
      <c r="E71" s="46"/>
    </row>
    <row r="72" spans="1:5" ht="12.75" outlineLevel="2">
      <c r="A72" s="7" t="s">
        <v>1711</v>
      </c>
      <c r="B72" s="29" t="s">
        <v>849</v>
      </c>
      <c r="C72" s="7" t="s">
        <v>1712</v>
      </c>
      <c r="D72" s="30">
        <v>761</v>
      </c>
      <c r="E72" s="46"/>
    </row>
    <row r="73" spans="1:5" ht="12.75" outlineLevel="2">
      <c r="A73" s="7" t="s">
        <v>2191</v>
      </c>
      <c r="B73" s="29" t="s">
        <v>849</v>
      </c>
      <c r="C73" s="7" t="s">
        <v>2192</v>
      </c>
      <c r="D73" s="30">
        <v>679.25</v>
      </c>
      <c r="E73" s="46"/>
    </row>
    <row r="74" spans="1:5" ht="12.75" outlineLevel="2">
      <c r="A74" s="51" t="s">
        <v>2202</v>
      </c>
      <c r="B74" s="52" t="s">
        <v>849</v>
      </c>
      <c r="C74" s="51" t="s">
        <v>2200</v>
      </c>
      <c r="D74" s="30">
        <v>213.07</v>
      </c>
      <c r="E74" s="46"/>
    </row>
    <row r="75" spans="1:5" ht="12.75" outlineLevel="2">
      <c r="A75" s="7" t="s">
        <v>2369</v>
      </c>
      <c r="B75" s="29" t="s">
        <v>1952</v>
      </c>
      <c r="C75" s="7" t="s">
        <v>2370</v>
      </c>
      <c r="D75" s="30">
        <v>365.04</v>
      </c>
      <c r="E75" s="46"/>
    </row>
    <row r="76" spans="1:5" ht="12.75" outlineLevel="2">
      <c r="A76" s="51" t="s">
        <v>1619</v>
      </c>
      <c r="B76" s="29" t="s">
        <v>1952</v>
      </c>
      <c r="C76" s="7" t="s">
        <v>2393</v>
      </c>
      <c r="D76" s="30">
        <v>400</v>
      </c>
      <c r="E76" s="46"/>
    </row>
    <row r="77" spans="1:5" ht="12.75" outlineLevel="2">
      <c r="A77" s="51" t="s">
        <v>1619</v>
      </c>
      <c r="B77" s="29" t="s">
        <v>1952</v>
      </c>
      <c r="C77" s="7" t="s">
        <v>2394</v>
      </c>
      <c r="D77" s="30">
        <v>39</v>
      </c>
      <c r="E77" s="46"/>
    </row>
    <row r="78" spans="1:5" ht="12.75" outlineLevel="2">
      <c r="A78" s="51" t="s">
        <v>1619</v>
      </c>
      <c r="B78" s="29" t="s">
        <v>1952</v>
      </c>
      <c r="C78" s="7" t="s">
        <v>2390</v>
      </c>
      <c r="D78" s="30">
        <v>311.11</v>
      </c>
      <c r="E78" s="46"/>
    </row>
    <row r="79" spans="1:5" ht="12.75" outlineLevel="2">
      <c r="A79" s="7" t="s">
        <v>2566</v>
      </c>
      <c r="B79" s="29" t="s">
        <v>1957</v>
      </c>
      <c r="C79" s="7" t="s">
        <v>2568</v>
      </c>
      <c r="D79" s="30">
        <v>2125</v>
      </c>
      <c r="E79" s="46"/>
    </row>
    <row r="80" spans="1:5" ht="12.75" customHeight="1" outlineLevel="2">
      <c r="A80" s="7" t="s">
        <v>1794</v>
      </c>
      <c r="B80" s="29" t="s">
        <v>1958</v>
      </c>
      <c r="C80" s="7" t="s">
        <v>1792</v>
      </c>
      <c r="D80" s="30">
        <v>350.52</v>
      </c>
      <c r="E80" s="46"/>
    </row>
    <row r="81" spans="1:5" ht="12.75" outlineLevel="2">
      <c r="A81" s="51" t="s">
        <v>220</v>
      </c>
      <c r="B81" s="52" t="s">
        <v>1961</v>
      </c>
      <c r="C81" s="51" t="s">
        <v>221</v>
      </c>
      <c r="D81" s="30">
        <v>1263.9</v>
      </c>
      <c r="E81" s="46"/>
    </row>
    <row r="82" spans="1:5" ht="12.75" outlineLevel="2">
      <c r="A82" s="51" t="s">
        <v>1418</v>
      </c>
      <c r="B82" s="52" t="s">
        <v>1961</v>
      </c>
      <c r="C82" s="51" t="s">
        <v>1419</v>
      </c>
      <c r="D82" s="30">
        <v>2000</v>
      </c>
      <c r="E82" s="46"/>
    </row>
    <row r="83" spans="1:5" ht="12.75" customHeight="1" outlineLevel="1">
      <c r="A83" s="117" t="s">
        <v>1341</v>
      </c>
      <c r="B83" s="118"/>
      <c r="C83" s="119"/>
      <c r="D83" s="28">
        <f>SUM(D84:D92)</f>
        <v>13176.93</v>
      </c>
      <c r="E83" s="46"/>
    </row>
    <row r="84" spans="1:5" ht="12.75" outlineLevel="2">
      <c r="A84" s="7" t="s">
        <v>856</v>
      </c>
      <c r="B84" s="29" t="s">
        <v>849</v>
      </c>
      <c r="C84" s="7" t="s">
        <v>857</v>
      </c>
      <c r="D84" s="30">
        <v>2011</v>
      </c>
      <c r="E84" s="46"/>
    </row>
    <row r="85" spans="1:5" ht="12.75" outlineLevel="2">
      <c r="A85" s="7" t="s">
        <v>1742</v>
      </c>
      <c r="B85" s="29" t="s">
        <v>849</v>
      </c>
      <c r="C85" s="7" t="s">
        <v>1741</v>
      </c>
      <c r="D85" s="30">
        <v>1962</v>
      </c>
      <c r="E85" s="46"/>
    </row>
    <row r="86" spans="1:5" ht="12.75" outlineLevel="2">
      <c r="A86" s="7" t="s">
        <v>1890</v>
      </c>
      <c r="B86" s="29" t="s">
        <v>849</v>
      </c>
      <c r="C86" s="7" t="s">
        <v>1889</v>
      </c>
      <c r="D86" s="30">
        <v>505</v>
      </c>
      <c r="E86" s="46"/>
    </row>
    <row r="87" spans="1:5" ht="12.75" outlineLevel="2">
      <c r="A87" s="7" t="s">
        <v>507</v>
      </c>
      <c r="B87" s="29" t="s">
        <v>1952</v>
      </c>
      <c r="C87" s="7" t="s">
        <v>509</v>
      </c>
      <c r="D87" s="30">
        <v>699</v>
      </c>
      <c r="E87" s="46"/>
    </row>
    <row r="88" spans="1:5" ht="12.75" outlineLevel="2">
      <c r="A88" s="7" t="s">
        <v>2414</v>
      </c>
      <c r="B88" s="29" t="s">
        <v>1953</v>
      </c>
      <c r="C88" s="7" t="s">
        <v>2415</v>
      </c>
      <c r="D88" s="30">
        <v>821</v>
      </c>
      <c r="E88" s="46"/>
    </row>
    <row r="89" spans="1:5" ht="12.75" customHeight="1" outlineLevel="2">
      <c r="A89" s="9" t="s">
        <v>1308</v>
      </c>
      <c r="B89" s="29" t="s">
        <v>1953</v>
      </c>
      <c r="C89" s="7" t="s">
        <v>1309</v>
      </c>
      <c r="D89" s="30">
        <v>2880</v>
      </c>
      <c r="E89" s="46"/>
    </row>
    <row r="90" spans="1:5" ht="12.75" outlineLevel="2">
      <c r="A90" s="7" t="s">
        <v>1280</v>
      </c>
      <c r="B90" s="29" t="s">
        <v>1954</v>
      </c>
      <c r="C90" s="7" t="s">
        <v>1282</v>
      </c>
      <c r="D90" s="30">
        <v>288</v>
      </c>
      <c r="E90" s="46"/>
    </row>
    <row r="91" spans="1:5" ht="12.75" outlineLevel="2">
      <c r="A91" s="7" t="s">
        <v>2270</v>
      </c>
      <c r="B91" s="29" t="s">
        <v>1954</v>
      </c>
      <c r="C91" s="7" t="s">
        <v>2271</v>
      </c>
      <c r="D91" s="30">
        <v>3840</v>
      </c>
      <c r="E91" s="46"/>
    </row>
    <row r="92" spans="1:5" ht="12.75" outlineLevel="2">
      <c r="A92" s="7" t="s">
        <v>2495</v>
      </c>
      <c r="B92" s="29" t="s">
        <v>1959</v>
      </c>
      <c r="C92" s="7" t="s">
        <v>2498</v>
      </c>
      <c r="D92" s="30">
        <v>170.93</v>
      </c>
      <c r="E92" s="46"/>
    </row>
    <row r="93" spans="1:5" ht="12.75" customHeight="1">
      <c r="A93" s="117" t="s">
        <v>1348</v>
      </c>
      <c r="B93" s="118"/>
      <c r="C93" s="119"/>
      <c r="D93" s="32">
        <f>D94</f>
        <v>6084</v>
      </c>
      <c r="E93" s="46"/>
    </row>
    <row r="94" spans="1:5" ht="13.5" outlineLevel="2" thickBot="1">
      <c r="A94" s="7" t="s">
        <v>418</v>
      </c>
      <c r="B94" s="29" t="s">
        <v>1957</v>
      </c>
      <c r="C94" s="7" t="s">
        <v>419</v>
      </c>
      <c r="D94" s="30">
        <v>6084</v>
      </c>
      <c r="E94" s="46"/>
    </row>
    <row r="95" spans="1:5" ht="12.75" customHeight="1">
      <c r="A95" s="147" t="s">
        <v>1349</v>
      </c>
      <c r="B95" s="148"/>
      <c r="C95" s="69"/>
      <c r="D95" s="32">
        <f>D96+D97</f>
        <v>532737</v>
      </c>
      <c r="E95" s="46"/>
    </row>
    <row r="96" spans="1:5" ht="12.75" customHeight="1">
      <c r="A96" s="104"/>
      <c r="B96" s="105"/>
      <c r="C96" s="69" t="s">
        <v>644</v>
      </c>
      <c r="D96" s="32">
        <v>513940</v>
      </c>
      <c r="E96" s="61"/>
    </row>
    <row r="97" spans="1:5" ht="12.75" customHeight="1">
      <c r="A97" s="104"/>
      <c r="B97" s="105"/>
      <c r="C97" s="69" t="s">
        <v>643</v>
      </c>
      <c r="D97" s="32">
        <v>18797</v>
      </c>
      <c r="E97" s="61"/>
    </row>
    <row r="98" spans="1:6" ht="12.75">
      <c r="A98" s="6">
        <v>3893</v>
      </c>
      <c r="B98" s="6" t="s">
        <v>1356</v>
      </c>
      <c r="C98" s="37" t="s">
        <v>1345</v>
      </c>
      <c r="D98" s="23">
        <f>(3893*6*1.46)+(3893*6*1.63)</f>
        <v>72176.22</v>
      </c>
      <c r="E98" s="47"/>
      <c r="F98" s="14" t="s">
        <v>1353</v>
      </c>
    </row>
    <row r="99" spans="1:6" ht="12.75" customHeight="1" thickBot="1">
      <c r="A99" s="6">
        <v>3893</v>
      </c>
      <c r="B99" s="6" t="s">
        <v>1356</v>
      </c>
      <c r="C99" s="37" t="s">
        <v>1357</v>
      </c>
      <c r="D99" s="23">
        <f>(3893*6*0.1)+(3893*6*0.11)</f>
        <v>4905.18</v>
      </c>
      <c r="E99" s="48"/>
      <c r="F99" s="14" t="s">
        <v>787</v>
      </c>
    </row>
    <row r="100" spans="1:6" ht="12.75" customHeight="1" thickTop="1">
      <c r="A100" s="132" t="s">
        <v>1361</v>
      </c>
      <c r="B100" s="133"/>
      <c r="C100" s="134"/>
      <c r="D100" s="67">
        <f>(3893*6*0.94)+(3893*6*1.03)</f>
        <v>46015.26</v>
      </c>
      <c r="E100" s="48">
        <v>2</v>
      </c>
      <c r="F100" s="27"/>
    </row>
    <row r="101" spans="1:6" ht="12.75" customHeight="1">
      <c r="A101" s="125" t="s">
        <v>1350</v>
      </c>
      <c r="B101" s="126"/>
      <c r="C101" s="127"/>
      <c r="D101" s="67">
        <f>(3893*6*1.57)+(3893*6*1.75)</f>
        <v>77548.56</v>
      </c>
      <c r="E101" s="48">
        <v>3</v>
      </c>
      <c r="F101" s="37" t="s">
        <v>1352</v>
      </c>
    </row>
    <row r="102" spans="1:6" ht="12.75" customHeight="1">
      <c r="A102" s="125" t="s">
        <v>1362</v>
      </c>
      <c r="B102" s="126"/>
      <c r="C102" s="127"/>
      <c r="D102" s="16">
        <f>10.3*(D104+D105)/100</f>
        <v>108992.11976</v>
      </c>
      <c r="E102" s="48">
        <v>4</v>
      </c>
      <c r="F102" s="37" t="s">
        <v>791</v>
      </c>
    </row>
    <row r="103" spans="1:6" ht="13.5" customHeight="1">
      <c r="A103" s="120" t="s">
        <v>1363</v>
      </c>
      <c r="B103" s="121"/>
      <c r="C103" s="122"/>
      <c r="D103" s="41">
        <f>D102+D101+D100+D6+D3</f>
        <v>636933.62976</v>
      </c>
      <c r="E103" s="48">
        <v>5</v>
      </c>
      <c r="F103" s="14" t="s">
        <v>843</v>
      </c>
    </row>
    <row r="104" spans="1:6" ht="14.25" customHeight="1">
      <c r="A104" s="114" t="s">
        <v>1364</v>
      </c>
      <c r="B104" s="115"/>
      <c r="C104" s="116"/>
      <c r="D104" s="18">
        <v>929700.08</v>
      </c>
      <c r="E104" s="48">
        <v>6</v>
      </c>
      <c r="F104" s="14" t="s">
        <v>844</v>
      </c>
    </row>
    <row r="105" spans="1:6" ht="12.75" customHeight="1">
      <c r="A105" s="114" t="s">
        <v>1365</v>
      </c>
      <c r="B105" s="115"/>
      <c r="C105" s="116"/>
      <c r="D105" s="18">
        <v>128475.84</v>
      </c>
      <c r="E105" s="48">
        <v>7</v>
      </c>
      <c r="F105" s="14" t="s">
        <v>845</v>
      </c>
    </row>
    <row r="106" spans="1:6" ht="12.75" customHeight="1">
      <c r="A106" s="114" t="s">
        <v>2221</v>
      </c>
      <c r="B106" s="115"/>
      <c r="C106" s="116"/>
      <c r="D106" s="19">
        <f>1064913.39+D104</f>
        <v>1994613.4699999997</v>
      </c>
      <c r="E106" s="48">
        <v>8</v>
      </c>
      <c r="F106" s="14" t="s">
        <v>787</v>
      </c>
    </row>
    <row r="107" spans="1:6" ht="12.75" customHeight="1">
      <c r="A107" s="114" t="s">
        <v>2222</v>
      </c>
      <c r="B107" s="115"/>
      <c r="C107" s="116"/>
      <c r="D107" s="19">
        <f>733129.16+D112</f>
        <v>1481146.3900000001</v>
      </c>
      <c r="E107" s="48">
        <v>9</v>
      </c>
      <c r="F107" s="14" t="s">
        <v>846</v>
      </c>
    </row>
    <row r="108" spans="1:6" ht="12.75" customHeight="1">
      <c r="A108" s="120" t="s">
        <v>2223</v>
      </c>
      <c r="B108" s="121"/>
      <c r="C108" s="122"/>
      <c r="D108" s="42">
        <f>878845.71+D103</f>
        <v>1515779.33976</v>
      </c>
      <c r="E108" s="48">
        <v>10</v>
      </c>
      <c r="F108" s="14" t="s">
        <v>847</v>
      </c>
    </row>
    <row r="109" spans="1:6" ht="12.75" customHeight="1">
      <c r="A109" s="114" t="s">
        <v>2224</v>
      </c>
      <c r="B109" s="115"/>
      <c r="C109" s="116"/>
      <c r="D109" s="18">
        <f>147189.4+D105</f>
        <v>275665.24</v>
      </c>
      <c r="E109" s="48">
        <v>11</v>
      </c>
      <c r="F109" s="14" t="s">
        <v>848</v>
      </c>
    </row>
    <row r="110" spans="1:6" ht="12.75" customHeight="1">
      <c r="A110" s="114" t="s">
        <v>2225</v>
      </c>
      <c r="B110" s="115"/>
      <c r="C110" s="116"/>
      <c r="D110" s="19">
        <f>101282.1+D113</f>
        <v>204651.07</v>
      </c>
      <c r="E110" s="48">
        <v>12</v>
      </c>
      <c r="F110" s="43"/>
    </row>
    <row r="111" spans="1:6" ht="27" customHeight="1">
      <c r="A111" s="120" t="s">
        <v>2226</v>
      </c>
      <c r="B111" s="121"/>
      <c r="C111" s="122"/>
      <c r="D111" s="42">
        <f>733477+D114</f>
        <v>1266214</v>
      </c>
      <c r="E111" s="48">
        <v>13</v>
      </c>
      <c r="F111" s="43"/>
    </row>
    <row r="112" spans="1:6" ht="14.25" customHeight="1">
      <c r="A112" s="114" t="s">
        <v>779</v>
      </c>
      <c r="B112" s="115"/>
      <c r="C112" s="116"/>
      <c r="D112" s="19">
        <v>748017.23</v>
      </c>
      <c r="E112" s="48">
        <v>14</v>
      </c>
      <c r="F112" s="43"/>
    </row>
    <row r="113" spans="1:6" ht="16.5" customHeight="1">
      <c r="A113" s="114" t="s">
        <v>780</v>
      </c>
      <c r="B113" s="115"/>
      <c r="C113" s="116"/>
      <c r="D113" s="18">
        <v>103368.97</v>
      </c>
      <c r="E113" s="48">
        <v>15</v>
      </c>
      <c r="F113" s="43"/>
    </row>
    <row r="114" spans="1:6" ht="12.75" customHeight="1">
      <c r="A114" s="120" t="s">
        <v>781</v>
      </c>
      <c r="B114" s="121"/>
      <c r="C114" s="122"/>
      <c r="D114" s="41">
        <f>D95</f>
        <v>532737</v>
      </c>
      <c r="F114" s="43"/>
    </row>
    <row r="115" spans="1:4" ht="25.5" customHeight="1">
      <c r="A115" s="108" t="s">
        <v>782</v>
      </c>
      <c r="B115" s="109"/>
      <c r="C115" s="110"/>
      <c r="D115" s="26">
        <f>D106-D108</f>
        <v>478834.13023999985</v>
      </c>
    </row>
    <row r="116" spans="1:4" ht="32.25" customHeight="1">
      <c r="A116" s="108" t="s">
        <v>717</v>
      </c>
      <c r="B116" s="109"/>
      <c r="C116" s="110"/>
      <c r="D116" s="26">
        <f>D109-D111</f>
        <v>-990548.76</v>
      </c>
    </row>
    <row r="117" spans="1:4" ht="31.5" customHeight="1">
      <c r="A117" s="108" t="s">
        <v>1624</v>
      </c>
      <c r="B117" s="109"/>
      <c r="C117" s="110"/>
      <c r="D117" s="26">
        <f>D107-D108</f>
        <v>-34632.949759999756</v>
      </c>
    </row>
  </sheetData>
  <sheetProtection/>
  <mergeCells count="29">
    <mergeCell ref="A105:C105"/>
    <mergeCell ref="A93:C93"/>
    <mergeCell ref="A108:C108"/>
    <mergeCell ref="A6:C6"/>
    <mergeCell ref="A7:C7"/>
    <mergeCell ref="A116:C116"/>
    <mergeCell ref="A111:C111"/>
    <mergeCell ref="A102:C102"/>
    <mergeCell ref="A103:C103"/>
    <mergeCell ref="A110:C110"/>
    <mergeCell ref="A106:C106"/>
    <mergeCell ref="A107:C107"/>
    <mergeCell ref="A104:C104"/>
    <mergeCell ref="A117:C117"/>
    <mergeCell ref="A112:C112"/>
    <mergeCell ref="A113:C113"/>
    <mergeCell ref="A114:C114"/>
    <mergeCell ref="A115:C115"/>
    <mergeCell ref="A109:C109"/>
    <mergeCell ref="A1:D1"/>
    <mergeCell ref="A100:C100"/>
    <mergeCell ref="A101:C101"/>
    <mergeCell ref="A95:B95"/>
    <mergeCell ref="A83:C83"/>
    <mergeCell ref="A3:C3"/>
    <mergeCell ref="A4:C4"/>
    <mergeCell ref="A56:C56"/>
    <mergeCell ref="A58:C58"/>
    <mergeCell ref="A71:C71"/>
  </mergeCells>
  <printOptions/>
  <pageMargins left="0.25" right="0.7" top="0.17" bottom="0.17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9" sqref="A1:D109"/>
    </sheetView>
  </sheetViews>
  <sheetFormatPr defaultColWidth="13.421875" defaultRowHeight="12.75" outlineLevelRow="2"/>
  <cols>
    <col min="1" max="1" width="11.8515625" style="1" customWidth="1"/>
    <col min="2" max="2" width="9.00390625" style="1" customWidth="1"/>
    <col min="3" max="3" width="56.28125" style="1" customWidth="1"/>
    <col min="4" max="4" width="14.57421875" style="99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28.5" customHeight="1" thickBot="1">
      <c r="A1" s="135" t="s">
        <v>1620</v>
      </c>
      <c r="B1" s="136"/>
      <c r="C1" s="136"/>
      <c r="D1" s="136"/>
    </row>
    <row r="2" spans="1:5" ht="20.25" customHeight="1">
      <c r="A2" s="2" t="s">
        <v>1335</v>
      </c>
      <c r="B2" s="3" t="s">
        <v>1336</v>
      </c>
      <c r="C2" s="4" t="s">
        <v>1337</v>
      </c>
      <c r="D2" s="85" t="s">
        <v>1338</v>
      </c>
      <c r="E2" s="44"/>
    </row>
    <row r="3" spans="1:5" ht="12.75" customHeight="1">
      <c r="A3" s="123" t="s">
        <v>1339</v>
      </c>
      <c r="B3" s="123"/>
      <c r="C3" s="123"/>
      <c r="D3" s="86">
        <f>D4</f>
        <v>33333.3</v>
      </c>
      <c r="E3" s="45"/>
    </row>
    <row r="4" spans="1:5" ht="12.75" outlineLevel="1">
      <c r="A4" s="117" t="s">
        <v>1355</v>
      </c>
      <c r="B4" s="118"/>
      <c r="C4" s="119"/>
      <c r="D4" s="87">
        <f>SUM(D5:D5)</f>
        <v>33333.3</v>
      </c>
      <c r="E4" s="46"/>
    </row>
    <row r="5" spans="1:5" ht="12.75" outlineLevel="2">
      <c r="A5" s="51" t="s">
        <v>65</v>
      </c>
      <c r="B5" s="52" t="s">
        <v>1956</v>
      </c>
      <c r="C5" s="63" t="s">
        <v>67</v>
      </c>
      <c r="D5" s="88">
        <v>33333.3</v>
      </c>
      <c r="E5" s="46"/>
    </row>
    <row r="6" spans="1:5" ht="13.5" customHeight="1" thickBot="1">
      <c r="A6" s="124" t="s">
        <v>1343</v>
      </c>
      <c r="B6" s="124"/>
      <c r="C6" s="124"/>
      <c r="D6" s="89">
        <f>D7+D54+D56+D59+D72+D84+D90+D91</f>
        <v>378450.7200000001</v>
      </c>
      <c r="E6" s="45"/>
    </row>
    <row r="7" spans="1:5" ht="13.5" outlineLevel="1" thickTop="1">
      <c r="A7" s="111" t="s">
        <v>1354</v>
      </c>
      <c r="B7" s="112"/>
      <c r="C7" s="113"/>
      <c r="D7" s="87">
        <f>SUM(D8:D53)</f>
        <v>81923.95000000001</v>
      </c>
      <c r="E7" s="46"/>
    </row>
    <row r="8" spans="1:5" ht="12.75" outlineLevel="2">
      <c r="A8" s="7" t="s">
        <v>1060</v>
      </c>
      <c r="B8" s="29" t="s">
        <v>849</v>
      </c>
      <c r="C8" s="7" t="s">
        <v>1061</v>
      </c>
      <c r="D8" s="88">
        <v>1353</v>
      </c>
      <c r="E8" s="46"/>
    </row>
    <row r="9" spans="1:5" ht="12.75" outlineLevel="2">
      <c r="A9" s="7" t="s">
        <v>1135</v>
      </c>
      <c r="B9" s="29" t="s">
        <v>849</v>
      </c>
      <c r="C9" s="7" t="s">
        <v>1137</v>
      </c>
      <c r="D9" s="88">
        <v>1180</v>
      </c>
      <c r="E9" s="46"/>
    </row>
    <row r="10" spans="1:5" ht="12.75" outlineLevel="2">
      <c r="A10" s="7" t="s">
        <v>1138</v>
      </c>
      <c r="B10" s="29" t="s">
        <v>849</v>
      </c>
      <c r="C10" s="7" t="s">
        <v>1139</v>
      </c>
      <c r="D10" s="88">
        <v>2954</v>
      </c>
      <c r="E10" s="46"/>
    </row>
    <row r="11" spans="1:5" ht="12.75" outlineLevel="2">
      <c r="A11" s="7" t="s">
        <v>1147</v>
      </c>
      <c r="B11" s="29" t="s">
        <v>849</v>
      </c>
      <c r="C11" s="7" t="s">
        <v>1158</v>
      </c>
      <c r="D11" s="88">
        <v>5256</v>
      </c>
      <c r="E11" s="46"/>
    </row>
    <row r="12" spans="1:5" ht="12.75" outlineLevel="2">
      <c r="A12" s="7" t="s">
        <v>1163</v>
      </c>
      <c r="B12" s="29" t="s">
        <v>849</v>
      </c>
      <c r="C12" s="7" t="s">
        <v>1165</v>
      </c>
      <c r="D12" s="88">
        <v>221</v>
      </c>
      <c r="E12" s="46"/>
    </row>
    <row r="13" spans="1:5" ht="12.75" outlineLevel="2">
      <c r="A13" s="7" t="s">
        <v>1911</v>
      </c>
      <c r="B13" s="29" t="s">
        <v>849</v>
      </c>
      <c r="C13" s="7" t="s">
        <v>1913</v>
      </c>
      <c r="D13" s="88">
        <v>1603</v>
      </c>
      <c r="E13" s="46"/>
    </row>
    <row r="14" spans="1:5" ht="12.75" outlineLevel="2">
      <c r="A14" s="7" t="s">
        <v>1923</v>
      </c>
      <c r="B14" s="29" t="s">
        <v>849</v>
      </c>
      <c r="C14" s="7" t="s">
        <v>1926</v>
      </c>
      <c r="D14" s="88">
        <v>294</v>
      </c>
      <c r="E14" s="46"/>
    </row>
    <row r="15" spans="1:5" ht="12.75" outlineLevel="2">
      <c r="A15" s="7" t="s">
        <v>299</v>
      </c>
      <c r="B15" s="29" t="s">
        <v>1951</v>
      </c>
      <c r="C15" s="7" t="s">
        <v>300</v>
      </c>
      <c r="D15" s="88">
        <v>1599</v>
      </c>
      <c r="E15" s="46"/>
    </row>
    <row r="16" spans="1:5" ht="12.75" outlineLevel="2">
      <c r="A16" s="7" t="s">
        <v>463</v>
      </c>
      <c r="B16" s="29" t="s">
        <v>1951</v>
      </c>
      <c r="C16" s="7" t="s">
        <v>464</v>
      </c>
      <c r="D16" s="88">
        <v>1770</v>
      </c>
      <c r="E16" s="46"/>
    </row>
    <row r="17" spans="1:5" ht="12.75" outlineLevel="2">
      <c r="A17" s="7" t="s">
        <v>297</v>
      </c>
      <c r="B17" s="29" t="s">
        <v>1951</v>
      </c>
      <c r="C17" s="7" t="s">
        <v>298</v>
      </c>
      <c r="D17" s="88">
        <v>597</v>
      </c>
      <c r="E17" s="46"/>
    </row>
    <row r="18" spans="1:5" ht="12.75" outlineLevel="2">
      <c r="A18" s="7" t="s">
        <v>1697</v>
      </c>
      <c r="B18" s="29" t="s">
        <v>1952</v>
      </c>
      <c r="C18" s="7" t="s">
        <v>1136</v>
      </c>
      <c r="D18" s="88">
        <v>562</v>
      </c>
      <c r="E18" s="46"/>
    </row>
    <row r="19" spans="1:5" ht="12.75" outlineLevel="2">
      <c r="A19" s="7" t="s">
        <v>7</v>
      </c>
      <c r="B19" s="29" t="s">
        <v>1952</v>
      </c>
      <c r="C19" s="7" t="s">
        <v>9</v>
      </c>
      <c r="D19" s="88">
        <v>383</v>
      </c>
      <c r="E19" s="46"/>
    </row>
    <row r="20" spans="1:5" ht="12.75" outlineLevel="2">
      <c r="A20" s="7" t="s">
        <v>2379</v>
      </c>
      <c r="B20" s="29" t="s">
        <v>1952</v>
      </c>
      <c r="C20" s="51" t="s">
        <v>2257</v>
      </c>
      <c r="D20" s="88">
        <v>94.7</v>
      </c>
      <c r="E20" s="46"/>
    </row>
    <row r="21" spans="1:5" ht="12.75" outlineLevel="2">
      <c r="A21" s="7" t="s">
        <v>16</v>
      </c>
      <c r="B21" s="29" t="s">
        <v>1952</v>
      </c>
      <c r="C21" s="7" t="s">
        <v>18</v>
      </c>
      <c r="D21" s="88">
        <v>1636</v>
      </c>
      <c r="E21" s="46"/>
    </row>
    <row r="22" spans="1:5" ht="12.75" outlineLevel="2">
      <c r="A22" s="8" t="s">
        <v>2333</v>
      </c>
      <c r="B22" s="29" t="s">
        <v>1953</v>
      </c>
      <c r="C22" s="7" t="s">
        <v>2334</v>
      </c>
      <c r="D22" s="90">
        <v>1225</v>
      </c>
      <c r="E22" s="46"/>
    </row>
    <row r="23" spans="1:5" ht="12.75" outlineLevel="2">
      <c r="A23" s="8" t="s">
        <v>2333</v>
      </c>
      <c r="B23" s="29" t="s">
        <v>1953</v>
      </c>
      <c r="C23" s="7" t="s">
        <v>2334</v>
      </c>
      <c r="D23" s="90">
        <v>614</v>
      </c>
      <c r="E23" s="46"/>
    </row>
    <row r="24" spans="1:5" ht="12.75" outlineLevel="2">
      <c r="A24" s="8" t="s">
        <v>2486</v>
      </c>
      <c r="B24" s="29" t="s">
        <v>1953</v>
      </c>
      <c r="C24" s="7" t="s">
        <v>2516</v>
      </c>
      <c r="D24" s="90">
        <v>4247</v>
      </c>
      <c r="E24" s="46"/>
    </row>
    <row r="25" spans="1:5" ht="12.75" outlineLevel="2">
      <c r="A25" s="55" t="s">
        <v>2629</v>
      </c>
      <c r="B25" s="52" t="s">
        <v>1954</v>
      </c>
      <c r="C25" s="51" t="s">
        <v>2630</v>
      </c>
      <c r="D25" s="90">
        <v>3414</v>
      </c>
      <c r="E25" s="46"/>
    </row>
    <row r="26" spans="1:5" ht="12.75" outlineLevel="2">
      <c r="A26" s="8" t="s">
        <v>2667</v>
      </c>
      <c r="B26" s="29" t="s">
        <v>1954</v>
      </c>
      <c r="C26" s="7" t="s">
        <v>2668</v>
      </c>
      <c r="D26" s="90">
        <v>614</v>
      </c>
      <c r="E26" s="46"/>
    </row>
    <row r="27" spans="1:8" ht="12.75" outlineLevel="2">
      <c r="A27" s="8" t="s">
        <v>2667</v>
      </c>
      <c r="B27" s="29" t="s">
        <v>1954</v>
      </c>
      <c r="C27" s="7" t="s">
        <v>2669</v>
      </c>
      <c r="D27" s="91">
        <v>3371</v>
      </c>
      <c r="E27" s="10"/>
      <c r="F27" s="10"/>
      <c r="G27" s="64"/>
      <c r="H27" s="61"/>
    </row>
    <row r="28" spans="1:8" ht="12.75" outlineLevel="2">
      <c r="A28" s="8" t="s">
        <v>2715</v>
      </c>
      <c r="B28" s="29" t="s">
        <v>2716</v>
      </c>
      <c r="C28" s="51" t="s">
        <v>2262</v>
      </c>
      <c r="D28" s="90">
        <v>3715</v>
      </c>
      <c r="E28" s="10"/>
      <c r="F28" s="10"/>
      <c r="G28" s="64"/>
      <c r="H28" s="61"/>
    </row>
    <row r="29" spans="1:8" ht="12.75" outlineLevel="2">
      <c r="A29" s="8" t="s">
        <v>1266</v>
      </c>
      <c r="B29" s="29" t="s">
        <v>1954</v>
      </c>
      <c r="C29" s="7" t="s">
        <v>1267</v>
      </c>
      <c r="D29" s="90">
        <v>1551</v>
      </c>
      <c r="E29" s="10"/>
      <c r="F29" s="10"/>
      <c r="G29" s="64"/>
      <c r="H29" s="61"/>
    </row>
    <row r="30" spans="1:5" ht="12.75" outlineLevel="2">
      <c r="A30" s="8" t="s">
        <v>586</v>
      </c>
      <c r="B30" s="29" t="s">
        <v>1954</v>
      </c>
      <c r="C30" s="7" t="s">
        <v>559</v>
      </c>
      <c r="D30" s="90">
        <v>7.69</v>
      </c>
      <c r="E30" s="46"/>
    </row>
    <row r="31" spans="1:5" ht="12.75" outlineLevel="2">
      <c r="A31" s="8" t="s">
        <v>2782</v>
      </c>
      <c r="B31" s="29" t="s">
        <v>1954</v>
      </c>
      <c r="C31" s="8" t="s">
        <v>1328</v>
      </c>
      <c r="D31" s="90">
        <v>189.4</v>
      </c>
      <c r="E31" s="46"/>
    </row>
    <row r="32" spans="1:5" ht="25.5" outlineLevel="2">
      <c r="A32" s="8" t="s">
        <v>994</v>
      </c>
      <c r="B32" s="29" t="s">
        <v>1955</v>
      </c>
      <c r="C32" s="7" t="s">
        <v>995</v>
      </c>
      <c r="D32" s="90">
        <v>2351</v>
      </c>
      <c r="E32" s="46"/>
    </row>
    <row r="33" spans="1:5" ht="12.75" outlineLevel="2">
      <c r="A33" s="8" t="s">
        <v>1033</v>
      </c>
      <c r="B33" s="29" t="s">
        <v>1955</v>
      </c>
      <c r="C33" s="7" t="s">
        <v>1034</v>
      </c>
      <c r="D33" s="90">
        <v>478</v>
      </c>
      <c r="E33" s="46"/>
    </row>
    <row r="34" spans="1:5" ht="12.75" outlineLevel="2">
      <c r="A34" s="8" t="s">
        <v>435</v>
      </c>
      <c r="B34" s="29" t="s">
        <v>1955</v>
      </c>
      <c r="C34" s="7" t="s">
        <v>436</v>
      </c>
      <c r="D34" s="90">
        <v>5292</v>
      </c>
      <c r="E34" s="46"/>
    </row>
    <row r="35" spans="1:5" ht="12.75" outlineLevel="2">
      <c r="A35" s="8" t="s">
        <v>440</v>
      </c>
      <c r="B35" s="29" t="s">
        <v>1955</v>
      </c>
      <c r="C35" s="7" t="s">
        <v>441</v>
      </c>
      <c r="D35" s="90">
        <v>5960</v>
      </c>
      <c r="E35" s="46"/>
    </row>
    <row r="36" spans="1:5" ht="12.75" outlineLevel="2">
      <c r="A36" s="8" t="s">
        <v>1932</v>
      </c>
      <c r="B36" s="29" t="s">
        <v>1955</v>
      </c>
      <c r="C36" s="7" t="s">
        <v>424</v>
      </c>
      <c r="D36" s="90">
        <v>2903.68</v>
      </c>
      <c r="E36" s="46"/>
    </row>
    <row r="37" spans="1:5" ht="12.75" outlineLevel="2">
      <c r="A37" s="8" t="s">
        <v>1082</v>
      </c>
      <c r="B37" s="29" t="s">
        <v>1956</v>
      </c>
      <c r="C37" s="7" t="s">
        <v>1083</v>
      </c>
      <c r="D37" s="90">
        <v>7.69</v>
      </c>
      <c r="E37" s="46"/>
    </row>
    <row r="38" spans="1:5" ht="12.75" outlineLevel="2">
      <c r="A38" s="8" t="s">
        <v>2722</v>
      </c>
      <c r="B38" s="29" t="s">
        <v>1957</v>
      </c>
      <c r="C38" s="7" t="s">
        <v>2725</v>
      </c>
      <c r="D38" s="90">
        <v>940</v>
      </c>
      <c r="E38" s="46"/>
    </row>
    <row r="39" spans="1:5" ht="12.75" outlineLevel="2">
      <c r="A39" s="8" t="s">
        <v>1214</v>
      </c>
      <c r="B39" s="29" t="s">
        <v>1957</v>
      </c>
      <c r="C39" s="7" t="s">
        <v>1216</v>
      </c>
      <c r="D39" s="90">
        <v>974</v>
      </c>
      <c r="E39" s="46"/>
    </row>
    <row r="40" spans="1:5" ht="12.75" outlineLevel="2">
      <c r="A40" s="8" t="s">
        <v>2125</v>
      </c>
      <c r="B40" s="29" t="s">
        <v>1959</v>
      </c>
      <c r="C40" s="7" t="s">
        <v>2126</v>
      </c>
      <c r="D40" s="90">
        <v>13399</v>
      </c>
      <c r="E40" s="46"/>
    </row>
    <row r="41" spans="1:5" ht="12.75" outlineLevel="2">
      <c r="A41" s="8" t="s">
        <v>871</v>
      </c>
      <c r="B41" s="29" t="s">
        <v>1959</v>
      </c>
      <c r="C41" s="7" t="s">
        <v>2727</v>
      </c>
      <c r="D41" s="88">
        <v>1334.41</v>
      </c>
      <c r="E41" s="46"/>
    </row>
    <row r="42" spans="1:5" ht="12.75" outlineLevel="2">
      <c r="A42" s="8" t="s">
        <v>2746</v>
      </c>
      <c r="B42" s="29" t="s">
        <v>1960</v>
      </c>
      <c r="C42" s="7" t="s">
        <v>2747</v>
      </c>
      <c r="D42" s="90">
        <v>1288.06</v>
      </c>
      <c r="E42" s="46"/>
    </row>
    <row r="43" spans="1:5" ht="12.75" outlineLevel="2">
      <c r="A43" s="8" t="s">
        <v>794</v>
      </c>
      <c r="B43" s="29" t="s">
        <v>1960</v>
      </c>
      <c r="C43" s="7" t="s">
        <v>795</v>
      </c>
      <c r="D43" s="90">
        <v>482.84</v>
      </c>
      <c r="E43" s="46"/>
    </row>
    <row r="44" spans="1:5" ht="12.75" outlineLevel="2">
      <c r="A44" s="8" t="s">
        <v>824</v>
      </c>
      <c r="B44" s="29" t="s">
        <v>1960</v>
      </c>
      <c r="C44" s="7" t="s">
        <v>825</v>
      </c>
      <c r="D44" s="90">
        <v>1286.19</v>
      </c>
      <c r="E44" s="46"/>
    </row>
    <row r="45" spans="1:5" ht="12.75" outlineLevel="2">
      <c r="A45" s="8" t="s">
        <v>836</v>
      </c>
      <c r="B45" s="29" t="s">
        <v>1960</v>
      </c>
      <c r="C45" s="7" t="s">
        <v>838</v>
      </c>
      <c r="D45" s="90">
        <v>3527.62</v>
      </c>
      <c r="E45" s="46"/>
    </row>
    <row r="46" spans="1:5" ht="12.75" outlineLevel="2">
      <c r="A46" s="8" t="s">
        <v>965</v>
      </c>
      <c r="B46" s="29" t="s">
        <v>1960</v>
      </c>
      <c r="C46" s="7" t="s">
        <v>964</v>
      </c>
      <c r="D46" s="90">
        <v>7.69</v>
      </c>
      <c r="E46" s="46"/>
    </row>
    <row r="47" spans="1:5" ht="12.75" outlineLevel="2">
      <c r="A47" s="8" t="s">
        <v>968</v>
      </c>
      <c r="B47" s="29" t="s">
        <v>1960</v>
      </c>
      <c r="C47" s="7" t="s">
        <v>969</v>
      </c>
      <c r="D47" s="90">
        <v>7.69</v>
      </c>
      <c r="E47" s="46"/>
    </row>
    <row r="48" spans="1:5" ht="12.75" outlineLevel="2">
      <c r="A48" s="8" t="s">
        <v>334</v>
      </c>
      <c r="B48" s="29" t="s">
        <v>1960</v>
      </c>
      <c r="C48" s="7" t="s">
        <v>335</v>
      </c>
      <c r="D48" s="90">
        <v>15.38</v>
      </c>
      <c r="E48" s="46"/>
    </row>
    <row r="49" spans="1:5" ht="12.75" outlineLevel="2">
      <c r="A49" s="8" t="s">
        <v>338</v>
      </c>
      <c r="B49" s="29" t="s">
        <v>1960</v>
      </c>
      <c r="C49" s="7" t="s">
        <v>335</v>
      </c>
      <c r="D49" s="90">
        <v>15.38</v>
      </c>
      <c r="E49" s="46"/>
    </row>
    <row r="50" spans="1:5" ht="25.5" outlineLevel="2">
      <c r="A50" s="8" t="s">
        <v>952</v>
      </c>
      <c r="B50" s="29" t="s">
        <v>1960</v>
      </c>
      <c r="C50" s="7" t="s">
        <v>921</v>
      </c>
      <c r="D50" s="90">
        <v>2272.8</v>
      </c>
      <c r="E50" s="46"/>
    </row>
    <row r="51" spans="1:5" ht="12.75" outlineLevel="2">
      <c r="A51" s="8" t="s">
        <v>722</v>
      </c>
      <c r="B51" s="29" t="s">
        <v>1961</v>
      </c>
      <c r="C51" s="7" t="s">
        <v>723</v>
      </c>
      <c r="D51" s="90">
        <v>320</v>
      </c>
      <c r="E51" s="46"/>
    </row>
    <row r="52" spans="1:5" ht="12.75" outlineLevel="2">
      <c r="A52" s="55" t="s">
        <v>1466</v>
      </c>
      <c r="B52" s="52" t="s">
        <v>1961</v>
      </c>
      <c r="C52" s="51" t="s">
        <v>1468</v>
      </c>
      <c r="D52" s="90">
        <v>602.04</v>
      </c>
      <c r="E52" s="46"/>
    </row>
    <row r="53" spans="1:5" ht="12.75" outlineLevel="2">
      <c r="A53" s="8" t="s">
        <v>1519</v>
      </c>
      <c r="B53" s="52" t="s">
        <v>1961</v>
      </c>
      <c r="C53" s="55" t="s">
        <v>1516</v>
      </c>
      <c r="D53" s="90">
        <v>7.69</v>
      </c>
      <c r="E53" s="46"/>
    </row>
    <row r="54" spans="1:5" ht="12.75" customHeight="1" outlineLevel="1">
      <c r="A54" s="117" t="s">
        <v>1340</v>
      </c>
      <c r="B54" s="118"/>
      <c r="C54" s="119"/>
      <c r="D54" s="87">
        <f>SUM(D55:D55)</f>
        <v>111</v>
      </c>
      <c r="E54" s="46"/>
    </row>
    <row r="55" spans="1:5" ht="12.75" outlineLevel="2">
      <c r="A55" s="9" t="s">
        <v>1995</v>
      </c>
      <c r="B55" s="29" t="s">
        <v>1959</v>
      </c>
      <c r="C55" s="7" t="s">
        <v>1998</v>
      </c>
      <c r="D55" s="88">
        <v>111</v>
      </c>
      <c r="E55" s="46"/>
    </row>
    <row r="56" spans="1:5" ht="12.75" customHeight="1" outlineLevel="1">
      <c r="A56" s="117" t="s">
        <v>1342</v>
      </c>
      <c r="B56" s="118"/>
      <c r="C56" s="119"/>
      <c r="D56" s="87">
        <f>SUM(D57:D58)</f>
        <v>42356</v>
      </c>
      <c r="E56" s="46"/>
    </row>
    <row r="57" spans="1:5" ht="12.75" outlineLevel="2">
      <c r="A57" s="51" t="s">
        <v>1662</v>
      </c>
      <c r="B57" s="52" t="s">
        <v>1952</v>
      </c>
      <c r="C57" s="51" t="s">
        <v>1663</v>
      </c>
      <c r="D57" s="88">
        <v>18577</v>
      </c>
      <c r="E57" s="46"/>
    </row>
    <row r="58" spans="1:5" ht="12.75" outlineLevel="2">
      <c r="A58" s="7" t="s">
        <v>1227</v>
      </c>
      <c r="B58" s="29" t="s">
        <v>1957</v>
      </c>
      <c r="C58" s="7" t="s">
        <v>1220</v>
      </c>
      <c r="D58" s="88">
        <v>23779</v>
      </c>
      <c r="E58" s="46"/>
    </row>
    <row r="59" spans="1:5" ht="12.75" customHeight="1" outlineLevel="1">
      <c r="A59" s="117" t="s">
        <v>1344</v>
      </c>
      <c r="B59" s="118"/>
      <c r="C59" s="119"/>
      <c r="D59" s="87">
        <f>SUM(D60:D71)</f>
        <v>165207.12000000005</v>
      </c>
      <c r="E59" s="46"/>
    </row>
    <row r="60" spans="1:5" ht="12.75" outlineLevel="2">
      <c r="A60" s="7"/>
      <c r="B60" s="29" t="s">
        <v>849</v>
      </c>
      <c r="C60" s="7" t="s">
        <v>1950</v>
      </c>
      <c r="D60" s="88">
        <f>3071.13+2682.38+1593.88+3770.88+1632.75+1010.75</f>
        <v>13761.77</v>
      </c>
      <c r="E60" s="46"/>
    </row>
    <row r="61" spans="1:5" ht="12.75" outlineLevel="2">
      <c r="A61" s="7"/>
      <c r="B61" s="29" t="s">
        <v>1951</v>
      </c>
      <c r="C61" s="7" t="s">
        <v>1950</v>
      </c>
      <c r="D61" s="88">
        <f>3071.13+2682.38+1593.88+3770.88+1632.75+1010.75</f>
        <v>13761.77</v>
      </c>
      <c r="E61" s="46"/>
    </row>
    <row r="62" spans="1:5" ht="12.75" outlineLevel="2">
      <c r="A62" s="7"/>
      <c r="B62" s="29" t="s">
        <v>1952</v>
      </c>
      <c r="C62" s="7" t="s">
        <v>1950</v>
      </c>
      <c r="D62" s="88">
        <f>3071.13+2682.38+1593.88+3770.88+1632.75+1010.75+233.25</f>
        <v>13995.02</v>
      </c>
      <c r="E62" s="46"/>
    </row>
    <row r="63" spans="1:5" ht="12.75" outlineLevel="2">
      <c r="A63" s="7"/>
      <c r="B63" s="29" t="s">
        <v>1953</v>
      </c>
      <c r="C63" s="7" t="s">
        <v>1950</v>
      </c>
      <c r="D63" s="88">
        <f>3071.13+2371.38+5364.75+1555+1010.75+233.25</f>
        <v>13606.26</v>
      </c>
      <c r="E63" s="46"/>
    </row>
    <row r="64" spans="1:5" ht="12.75" outlineLevel="2">
      <c r="A64" s="7"/>
      <c r="B64" s="29" t="s">
        <v>1954</v>
      </c>
      <c r="C64" s="7" t="s">
        <v>1950</v>
      </c>
      <c r="D64" s="88">
        <f>3071.13+2060.38+5287+1438.38+971.88+233.25</f>
        <v>13062.019999999999</v>
      </c>
      <c r="E64" s="46"/>
    </row>
    <row r="65" spans="1:5" ht="12.75" outlineLevel="2">
      <c r="A65" s="7"/>
      <c r="B65" s="29" t="s">
        <v>1955</v>
      </c>
      <c r="C65" s="7" t="s">
        <v>1950</v>
      </c>
      <c r="D65" s="88">
        <f>1535.56+1030.19+2682.38+719.19+485.94+205.26</f>
        <v>6658.5199999999995</v>
      </c>
      <c r="E65" s="46"/>
    </row>
    <row r="66" spans="1:5" ht="12.75" outlineLevel="2">
      <c r="A66" s="7"/>
      <c r="B66" s="29" t="s">
        <v>1956</v>
      </c>
      <c r="C66" s="7" t="s">
        <v>1950</v>
      </c>
      <c r="D66" s="88">
        <f>3421+2293.63+5986.75+1593.88+1088.5+3281.83</f>
        <v>17665.590000000004</v>
      </c>
      <c r="E66" s="46"/>
    </row>
    <row r="67" spans="1:5" ht="12.75" outlineLevel="2">
      <c r="A67" s="7"/>
      <c r="B67" s="29" t="s">
        <v>1957</v>
      </c>
      <c r="C67" s="7" t="s">
        <v>1950</v>
      </c>
      <c r="D67" s="88">
        <f>3421+2293.63+5986.75+1593.75+1088.5</f>
        <v>14383.630000000001</v>
      </c>
      <c r="E67" s="46"/>
    </row>
    <row r="68" spans="1:5" ht="12.75" outlineLevel="2">
      <c r="A68" s="7"/>
      <c r="B68" s="29" t="s">
        <v>1958</v>
      </c>
      <c r="C68" s="7" t="s">
        <v>1950</v>
      </c>
      <c r="D68" s="88">
        <f>3421+2293.63+5986.75+1593.88+1088.5</f>
        <v>14383.760000000002</v>
      </c>
      <c r="E68" s="46"/>
    </row>
    <row r="69" spans="1:5" ht="12.75" outlineLevel="2">
      <c r="A69" s="7"/>
      <c r="B69" s="29" t="s">
        <v>1959</v>
      </c>
      <c r="C69" s="7" t="s">
        <v>1950</v>
      </c>
      <c r="D69" s="88">
        <f>3421+2293.63+5986.75+1593.88</f>
        <v>13295.260000000002</v>
      </c>
      <c r="E69" s="46"/>
    </row>
    <row r="70" spans="1:5" ht="12.75" outlineLevel="2">
      <c r="A70" s="7"/>
      <c r="B70" s="29" t="s">
        <v>1960</v>
      </c>
      <c r="C70" s="7" t="s">
        <v>1950</v>
      </c>
      <c r="D70" s="88">
        <f>3421+2993.38+1788.25+4198.5+1827.13+1088.5</f>
        <v>15316.760000000002</v>
      </c>
      <c r="E70" s="46"/>
    </row>
    <row r="71" spans="1:5" ht="12.75" outlineLevel="2">
      <c r="A71" s="11"/>
      <c r="B71" s="29" t="s">
        <v>1961</v>
      </c>
      <c r="C71" s="7" t="s">
        <v>1950</v>
      </c>
      <c r="D71" s="88">
        <f>3421+2993.38+1788.25+4198.5+1827.13+1088.5</f>
        <v>15316.760000000002</v>
      </c>
      <c r="E71" s="46"/>
    </row>
    <row r="72" spans="1:5" ht="12.75" customHeight="1" outlineLevel="1">
      <c r="A72" s="117" t="s">
        <v>1346</v>
      </c>
      <c r="B72" s="118"/>
      <c r="C72" s="119"/>
      <c r="D72" s="87">
        <f>SUM(D73:D83)</f>
        <v>9020.89</v>
      </c>
      <c r="E72" s="46"/>
    </row>
    <row r="73" spans="1:5" ht="12.75" outlineLevel="2">
      <c r="A73" s="7" t="s">
        <v>1711</v>
      </c>
      <c r="B73" s="29" t="s">
        <v>849</v>
      </c>
      <c r="C73" s="7" t="s">
        <v>1712</v>
      </c>
      <c r="D73" s="88">
        <v>761</v>
      </c>
      <c r="E73" s="46"/>
    </row>
    <row r="74" spans="1:5" ht="12.75" outlineLevel="2">
      <c r="A74" s="7" t="s">
        <v>2191</v>
      </c>
      <c r="B74" s="29" t="s">
        <v>849</v>
      </c>
      <c r="C74" s="7" t="s">
        <v>2192</v>
      </c>
      <c r="D74" s="88">
        <v>679.25</v>
      </c>
      <c r="E74" s="46"/>
    </row>
    <row r="75" spans="1:5" ht="12.75" outlineLevel="2">
      <c r="A75" s="51" t="s">
        <v>2202</v>
      </c>
      <c r="B75" s="52" t="s">
        <v>849</v>
      </c>
      <c r="C75" s="51" t="s">
        <v>2200</v>
      </c>
      <c r="D75" s="88">
        <v>213.07</v>
      </c>
      <c r="E75" s="46"/>
    </row>
    <row r="76" spans="1:5" ht="12.75" outlineLevel="2">
      <c r="A76" s="7" t="s">
        <v>2369</v>
      </c>
      <c r="B76" s="29" t="s">
        <v>1952</v>
      </c>
      <c r="C76" s="7" t="s">
        <v>2370</v>
      </c>
      <c r="D76" s="88">
        <v>365.04</v>
      </c>
      <c r="E76" s="46"/>
    </row>
    <row r="77" spans="1:5" ht="12.75" customHeight="1" outlineLevel="2">
      <c r="A77" s="51" t="s">
        <v>2251</v>
      </c>
      <c r="B77" s="29" t="s">
        <v>1952</v>
      </c>
      <c r="C77" s="7" t="s">
        <v>2393</v>
      </c>
      <c r="D77" s="88">
        <v>400</v>
      </c>
      <c r="E77" s="46"/>
    </row>
    <row r="78" spans="1:5" ht="12.75" customHeight="1" outlineLevel="2">
      <c r="A78" s="51" t="s">
        <v>2251</v>
      </c>
      <c r="B78" s="29" t="s">
        <v>1952</v>
      </c>
      <c r="C78" s="7" t="s">
        <v>2394</v>
      </c>
      <c r="D78" s="88">
        <v>39</v>
      </c>
      <c r="E78" s="46"/>
    </row>
    <row r="79" spans="1:5" ht="12.75" customHeight="1" outlineLevel="2">
      <c r="A79" s="51" t="s">
        <v>2251</v>
      </c>
      <c r="B79" s="29" t="s">
        <v>1952</v>
      </c>
      <c r="C79" s="7" t="s">
        <v>2390</v>
      </c>
      <c r="D79" s="88">
        <v>311.11</v>
      </c>
      <c r="E79" s="46"/>
    </row>
    <row r="80" spans="1:5" ht="12.75" outlineLevel="2">
      <c r="A80" s="7" t="s">
        <v>2566</v>
      </c>
      <c r="B80" s="29" t="s">
        <v>1957</v>
      </c>
      <c r="C80" s="7" t="s">
        <v>2568</v>
      </c>
      <c r="D80" s="88">
        <v>2638</v>
      </c>
      <c r="E80" s="46"/>
    </row>
    <row r="81" spans="1:5" ht="12.75" outlineLevel="2">
      <c r="A81" s="7" t="s">
        <v>1793</v>
      </c>
      <c r="B81" s="29" t="s">
        <v>1958</v>
      </c>
      <c r="C81" s="7" t="s">
        <v>1792</v>
      </c>
      <c r="D81" s="88">
        <v>350.52</v>
      </c>
      <c r="E81" s="46"/>
    </row>
    <row r="82" spans="1:5" ht="12.75" outlineLevel="2">
      <c r="A82" s="51" t="s">
        <v>220</v>
      </c>
      <c r="B82" s="52" t="s">
        <v>1961</v>
      </c>
      <c r="C82" s="51" t="s">
        <v>221</v>
      </c>
      <c r="D82" s="88">
        <v>1263.9</v>
      </c>
      <c r="E82" s="46"/>
    </row>
    <row r="83" spans="1:5" ht="12.75" outlineLevel="2">
      <c r="A83" s="51" t="s">
        <v>1418</v>
      </c>
      <c r="B83" s="52" t="s">
        <v>1961</v>
      </c>
      <c r="C83" s="51" t="s">
        <v>1419</v>
      </c>
      <c r="D83" s="88">
        <v>2000</v>
      </c>
      <c r="E83" s="46"/>
    </row>
    <row r="84" spans="1:5" ht="12.75" customHeight="1" outlineLevel="1">
      <c r="A84" s="117" t="s">
        <v>1341</v>
      </c>
      <c r="B84" s="118"/>
      <c r="C84" s="119"/>
      <c r="D84" s="87">
        <f>SUM(D85:D89)</f>
        <v>2786</v>
      </c>
      <c r="E84" s="46"/>
    </row>
    <row r="85" spans="1:5" ht="12.75" outlineLevel="2">
      <c r="A85" s="7" t="s">
        <v>128</v>
      </c>
      <c r="B85" s="29" t="s">
        <v>849</v>
      </c>
      <c r="C85" s="7" t="s">
        <v>129</v>
      </c>
      <c r="D85" s="88">
        <v>114</v>
      </c>
      <c r="E85" s="46"/>
    </row>
    <row r="86" spans="1:5" ht="12.75" outlineLevel="2">
      <c r="A86" s="7" t="s">
        <v>132</v>
      </c>
      <c r="B86" s="29" t="s">
        <v>849</v>
      </c>
      <c r="C86" s="7" t="s">
        <v>133</v>
      </c>
      <c r="D86" s="88">
        <v>1352</v>
      </c>
      <c r="E86" s="46"/>
    </row>
    <row r="87" spans="1:5" ht="12.75" outlineLevel="2">
      <c r="A87" s="7" t="s">
        <v>1191</v>
      </c>
      <c r="B87" s="29" t="s">
        <v>849</v>
      </c>
      <c r="C87" s="7" t="s">
        <v>1785</v>
      </c>
      <c r="D87" s="88">
        <v>321</v>
      </c>
      <c r="E87" s="46"/>
    </row>
    <row r="88" spans="1:5" ht="12.75" outlineLevel="2">
      <c r="A88" s="7" t="s">
        <v>1784</v>
      </c>
      <c r="B88" s="29" t="s">
        <v>849</v>
      </c>
      <c r="C88" s="7" t="s">
        <v>1786</v>
      </c>
      <c r="D88" s="88">
        <v>714</v>
      </c>
      <c r="E88" s="46"/>
    </row>
    <row r="89" spans="1:5" ht="12.75" outlineLevel="2">
      <c r="A89" s="7" t="s">
        <v>1016</v>
      </c>
      <c r="B89" s="29" t="s">
        <v>1955</v>
      </c>
      <c r="C89" s="7" t="s">
        <v>1017</v>
      </c>
      <c r="D89" s="88">
        <v>285</v>
      </c>
      <c r="E89" s="46"/>
    </row>
    <row r="90" spans="1:6" ht="12.75">
      <c r="A90" s="6">
        <v>3891.2</v>
      </c>
      <c r="B90" s="6" t="s">
        <v>1356</v>
      </c>
      <c r="C90" s="37" t="s">
        <v>1345</v>
      </c>
      <c r="D90" s="92">
        <f>(3891.2*6*1.46)+(3891.2*6*1.63)</f>
        <v>72142.848</v>
      </c>
      <c r="E90" s="46"/>
      <c r="F90" s="37" t="s">
        <v>1352</v>
      </c>
    </row>
    <row r="91" spans="1:6" ht="13.5" thickBot="1">
      <c r="A91" s="6">
        <v>3891.2</v>
      </c>
      <c r="B91" s="6" t="s">
        <v>1356</v>
      </c>
      <c r="C91" s="37" t="s">
        <v>1357</v>
      </c>
      <c r="D91" s="92">
        <f>(3891.2*6*0.1)+(3891.2*6*0.11)</f>
        <v>4902.911999999999</v>
      </c>
      <c r="E91" s="46"/>
      <c r="F91" s="37" t="s">
        <v>1351</v>
      </c>
    </row>
    <row r="92" spans="1:6" ht="12.75" customHeight="1" thickTop="1">
      <c r="A92" s="132" t="s">
        <v>1361</v>
      </c>
      <c r="B92" s="133"/>
      <c r="C92" s="134"/>
      <c r="D92" s="93">
        <f>(3891.2*6*0.94)+(3891.2*6*1.03)</f>
        <v>45993.984</v>
      </c>
      <c r="E92" s="48"/>
      <c r="F92" s="14" t="s">
        <v>787</v>
      </c>
    </row>
    <row r="93" spans="1:6" ht="12.75" customHeight="1">
      <c r="A93" s="125" t="s">
        <v>1350</v>
      </c>
      <c r="B93" s="126"/>
      <c r="C93" s="127"/>
      <c r="D93" s="93">
        <f>(3891.2*6*1.57)+(3891.2*6*1.75)</f>
        <v>77512.704</v>
      </c>
      <c r="E93" s="48"/>
      <c r="F93" s="14" t="s">
        <v>788</v>
      </c>
    </row>
    <row r="94" spans="1:6" ht="12.75" customHeight="1">
      <c r="A94" s="125" t="s">
        <v>1362</v>
      </c>
      <c r="B94" s="126"/>
      <c r="C94" s="127"/>
      <c r="D94" s="91">
        <f>10.3*(D96+D97)/100</f>
        <v>108942.88575999999</v>
      </c>
      <c r="E94" s="48"/>
      <c r="F94" s="14" t="s">
        <v>789</v>
      </c>
    </row>
    <row r="95" spans="1:6" ht="12.75" customHeight="1">
      <c r="A95" s="120" t="s">
        <v>1363</v>
      </c>
      <c r="B95" s="121"/>
      <c r="C95" s="122"/>
      <c r="D95" s="94">
        <f>D94+D93+D92+D6+D3</f>
        <v>644233.5937600001</v>
      </c>
      <c r="E95" s="48">
        <v>1</v>
      </c>
      <c r="F95" s="14" t="s">
        <v>790</v>
      </c>
    </row>
    <row r="96" spans="1:6" ht="12.75" customHeight="1">
      <c r="A96" s="114" t="s">
        <v>1364</v>
      </c>
      <c r="B96" s="115"/>
      <c r="C96" s="116"/>
      <c r="D96" s="95">
        <v>929280.16</v>
      </c>
      <c r="E96" s="48">
        <v>2</v>
      </c>
      <c r="F96" s="27"/>
    </row>
    <row r="97" spans="1:6" ht="12.75" customHeight="1">
      <c r="A97" s="114" t="s">
        <v>1365</v>
      </c>
      <c r="B97" s="115"/>
      <c r="C97" s="116"/>
      <c r="D97" s="95">
        <v>128417.76</v>
      </c>
      <c r="E97" s="48">
        <v>3</v>
      </c>
      <c r="F97" s="37" t="s">
        <v>1352</v>
      </c>
    </row>
    <row r="98" spans="1:6" ht="12.75" customHeight="1">
      <c r="A98" s="114" t="s">
        <v>2221</v>
      </c>
      <c r="B98" s="115"/>
      <c r="C98" s="116"/>
      <c r="D98" s="96">
        <f>106731.9+D96</f>
        <v>1036012.06</v>
      </c>
      <c r="E98" s="48">
        <v>4</v>
      </c>
      <c r="F98" s="37" t="s">
        <v>791</v>
      </c>
    </row>
    <row r="99" spans="1:6" ht="13.5" customHeight="1">
      <c r="A99" s="114" t="s">
        <v>2222</v>
      </c>
      <c r="B99" s="115"/>
      <c r="C99" s="116"/>
      <c r="D99" s="96">
        <f>864688.74+D104</f>
        <v>1674776.97</v>
      </c>
      <c r="E99" s="48">
        <v>5</v>
      </c>
      <c r="F99" s="14" t="s">
        <v>843</v>
      </c>
    </row>
    <row r="100" spans="1:6" ht="25.5" customHeight="1">
      <c r="A100" s="120" t="s">
        <v>2223</v>
      </c>
      <c r="B100" s="121"/>
      <c r="C100" s="122"/>
      <c r="D100" s="97">
        <f>793918.33+D95</f>
        <v>1438151.9237600002</v>
      </c>
      <c r="E100" s="48">
        <v>6</v>
      </c>
      <c r="F100" s="14" t="s">
        <v>844</v>
      </c>
    </row>
    <row r="101" spans="1:6" ht="12.75" customHeight="1">
      <c r="A101" s="114" t="s">
        <v>2224</v>
      </c>
      <c r="B101" s="115"/>
      <c r="C101" s="116"/>
      <c r="D101" s="96">
        <f>147435.2+D97</f>
        <v>275852.96</v>
      </c>
      <c r="E101" s="48">
        <v>7</v>
      </c>
      <c r="F101" s="14" t="s">
        <v>845</v>
      </c>
    </row>
    <row r="102" spans="1:6" ht="12.75" customHeight="1">
      <c r="A102" s="114" t="s">
        <v>2225</v>
      </c>
      <c r="B102" s="115"/>
      <c r="C102" s="116"/>
      <c r="D102" s="96">
        <f>119383.5+D105</f>
        <v>231330.05</v>
      </c>
      <c r="E102" s="48">
        <v>8</v>
      </c>
      <c r="F102" s="14" t="s">
        <v>787</v>
      </c>
    </row>
    <row r="103" spans="1:6" ht="12.75" customHeight="1">
      <c r="A103" s="120" t="s">
        <v>2226</v>
      </c>
      <c r="B103" s="121"/>
      <c r="C103" s="122"/>
      <c r="D103" s="97">
        <v>0</v>
      </c>
      <c r="E103" s="48">
        <v>9</v>
      </c>
      <c r="F103" s="14" t="s">
        <v>846</v>
      </c>
    </row>
    <row r="104" spans="1:6" ht="12.75" customHeight="1">
      <c r="A104" s="114" t="s">
        <v>779</v>
      </c>
      <c r="B104" s="115"/>
      <c r="C104" s="116"/>
      <c r="D104" s="95">
        <v>810088.23</v>
      </c>
      <c r="E104" s="48">
        <v>10</v>
      </c>
      <c r="F104" s="14" t="s">
        <v>847</v>
      </c>
    </row>
    <row r="105" spans="1:6" ht="12.75" customHeight="1">
      <c r="A105" s="114" t="s">
        <v>780</v>
      </c>
      <c r="B105" s="115"/>
      <c r="C105" s="116"/>
      <c r="D105" s="95">
        <v>111946.55</v>
      </c>
      <c r="E105" s="48">
        <v>11</v>
      </c>
      <c r="F105" s="14" t="s">
        <v>848</v>
      </c>
    </row>
    <row r="106" spans="1:6" ht="12.75" customHeight="1">
      <c r="A106" s="120" t="s">
        <v>781</v>
      </c>
      <c r="B106" s="121"/>
      <c r="C106" s="122"/>
      <c r="D106" s="94">
        <v>0</v>
      </c>
      <c r="E106" s="48">
        <v>12</v>
      </c>
      <c r="F106" s="43"/>
    </row>
    <row r="107" spans="1:6" ht="27" customHeight="1">
      <c r="A107" s="108" t="s">
        <v>2220</v>
      </c>
      <c r="B107" s="109"/>
      <c r="C107" s="110"/>
      <c r="D107" s="98">
        <f>D98-D100</f>
        <v>-402139.8637600001</v>
      </c>
      <c r="E107" s="48">
        <v>13</v>
      </c>
      <c r="F107" s="43"/>
    </row>
    <row r="108" spans="1:6" ht="25.5" customHeight="1">
      <c r="A108" s="108" t="s">
        <v>783</v>
      </c>
      <c r="B108" s="109"/>
      <c r="C108" s="110"/>
      <c r="D108" s="98">
        <f>D101-D103</f>
        <v>275852.96</v>
      </c>
      <c r="E108" s="48">
        <v>14</v>
      </c>
      <c r="F108" s="43"/>
    </row>
    <row r="109" spans="1:6" ht="25.5" customHeight="1">
      <c r="A109" s="108" t="s">
        <v>784</v>
      </c>
      <c r="B109" s="109"/>
      <c r="C109" s="110"/>
      <c r="D109" s="98">
        <f>D99-D100</f>
        <v>236625.04623999982</v>
      </c>
      <c r="E109" s="48">
        <v>15</v>
      </c>
      <c r="F109" s="43"/>
    </row>
    <row r="110" ht="12.75">
      <c r="F110" s="43"/>
    </row>
  </sheetData>
  <sheetProtection/>
  <mergeCells count="28">
    <mergeCell ref="A102:C102"/>
    <mergeCell ref="A103:C103"/>
    <mergeCell ref="A108:C108"/>
    <mergeCell ref="A109:C109"/>
    <mergeCell ref="A104:C104"/>
    <mergeCell ref="A105:C105"/>
    <mergeCell ref="A106:C106"/>
    <mergeCell ref="A107:C107"/>
    <mergeCell ref="A96:C96"/>
    <mergeCell ref="A97:C97"/>
    <mergeCell ref="A7:C7"/>
    <mergeCell ref="A84:C84"/>
    <mergeCell ref="A94:C94"/>
    <mergeCell ref="A95:C95"/>
    <mergeCell ref="A59:C59"/>
    <mergeCell ref="A72:C72"/>
    <mergeCell ref="A54:C54"/>
    <mergeCell ref="A56:C56"/>
    <mergeCell ref="A100:C100"/>
    <mergeCell ref="A101:C101"/>
    <mergeCell ref="A1:D1"/>
    <mergeCell ref="A92:C92"/>
    <mergeCell ref="A93:C93"/>
    <mergeCell ref="A3:C3"/>
    <mergeCell ref="A4:C4"/>
    <mergeCell ref="A6:C6"/>
    <mergeCell ref="A98:C98"/>
    <mergeCell ref="A99:C99"/>
  </mergeCells>
  <printOptions/>
  <pageMargins left="0.17" right="0.33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2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31" sqref="A1:D131"/>
    </sheetView>
  </sheetViews>
  <sheetFormatPr defaultColWidth="13.421875" defaultRowHeight="12.75" outlineLevelRow="2"/>
  <cols>
    <col min="1" max="1" width="13.421875" style="1" customWidth="1"/>
    <col min="2" max="2" width="11.0039062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31.5" customHeight="1" thickBot="1">
      <c r="A1" s="135" t="s">
        <v>1621</v>
      </c>
      <c r="B1" s="136"/>
      <c r="C1" s="136"/>
      <c r="D1" s="136"/>
    </row>
    <row r="2" spans="1:5" ht="20.25" customHeight="1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D4+D6</f>
        <v>227516</v>
      </c>
      <c r="E3" s="45"/>
    </row>
    <row r="4" spans="1:5" ht="12.75" outlineLevel="1">
      <c r="A4" s="117" t="s">
        <v>1354</v>
      </c>
      <c r="B4" s="118"/>
      <c r="C4" s="119"/>
      <c r="D4" s="28">
        <f>SUM(D5:D5)</f>
        <v>156037</v>
      </c>
      <c r="E4" s="46"/>
    </row>
    <row r="5" spans="1:5" ht="12.75" outlineLevel="2">
      <c r="A5" s="7" t="s">
        <v>2082</v>
      </c>
      <c r="B5" s="29" t="s">
        <v>1952</v>
      </c>
      <c r="C5" s="13" t="s">
        <v>2083</v>
      </c>
      <c r="D5" s="30">
        <v>156037</v>
      </c>
      <c r="E5" s="46"/>
    </row>
    <row r="6" spans="1:5" ht="12.75" outlineLevel="1">
      <c r="A6" s="117" t="s">
        <v>1355</v>
      </c>
      <c r="B6" s="118"/>
      <c r="C6" s="119"/>
      <c r="D6" s="28">
        <f>SUM(D7:D8)</f>
        <v>71479</v>
      </c>
      <c r="E6" s="46"/>
    </row>
    <row r="7" spans="1:5" ht="12.75" outlineLevel="2">
      <c r="A7" s="51" t="s">
        <v>61</v>
      </c>
      <c r="B7" s="52" t="s">
        <v>1955</v>
      </c>
      <c r="C7" s="63" t="s">
        <v>62</v>
      </c>
      <c r="D7" s="30">
        <v>48979</v>
      </c>
      <c r="E7" s="46"/>
    </row>
    <row r="8" spans="1:5" ht="12.75" outlineLevel="2">
      <c r="A8" s="51" t="s">
        <v>80</v>
      </c>
      <c r="B8" s="52" t="s">
        <v>1959</v>
      </c>
      <c r="C8" s="63" t="s">
        <v>81</v>
      </c>
      <c r="D8" s="30">
        <v>22500</v>
      </c>
      <c r="E8" s="46"/>
    </row>
    <row r="9" spans="1:5" ht="13.5" customHeight="1" outlineLevel="1" thickBot="1">
      <c r="A9" s="124" t="s">
        <v>1343</v>
      </c>
      <c r="B9" s="124"/>
      <c r="C9" s="124"/>
      <c r="D9" s="25">
        <f>D10+D68+D70+D74+D87+D101+D112+D113</f>
        <v>465671.76423965645</v>
      </c>
      <c r="E9" s="45"/>
    </row>
    <row r="10" spans="1:5" ht="13.5" outlineLevel="1" thickTop="1">
      <c r="A10" s="111" t="s">
        <v>1354</v>
      </c>
      <c r="B10" s="112"/>
      <c r="C10" s="113"/>
      <c r="D10" s="28">
        <f>SUM(D11:D67)</f>
        <v>129810.1761488173</v>
      </c>
      <c r="E10" s="46"/>
    </row>
    <row r="11" spans="1:5" ht="12.75" outlineLevel="2">
      <c r="A11" s="7" t="s">
        <v>1058</v>
      </c>
      <c r="B11" s="29" t="s">
        <v>849</v>
      </c>
      <c r="C11" s="7" t="s">
        <v>1059</v>
      </c>
      <c r="D11" s="30">
        <v>1338</v>
      </c>
      <c r="E11" s="46"/>
    </row>
    <row r="12" spans="1:5" ht="12.75" outlineLevel="2">
      <c r="A12" s="7" t="s">
        <v>1062</v>
      </c>
      <c r="B12" s="29" t="s">
        <v>849</v>
      </c>
      <c r="C12" s="7" t="s">
        <v>1063</v>
      </c>
      <c r="D12" s="30">
        <v>1353</v>
      </c>
      <c r="E12" s="46"/>
    </row>
    <row r="13" spans="1:5" ht="12.75" outlineLevel="2">
      <c r="A13" s="7" t="s">
        <v>1103</v>
      </c>
      <c r="B13" s="29" t="s">
        <v>849</v>
      </c>
      <c r="C13" s="7" t="s">
        <v>1915</v>
      </c>
      <c r="D13" s="30">
        <v>2802</v>
      </c>
      <c r="E13" s="46"/>
    </row>
    <row r="14" spans="1:5" ht="12.75" outlineLevel="2">
      <c r="A14" s="50" t="s">
        <v>1135</v>
      </c>
      <c r="B14" s="29" t="s">
        <v>849</v>
      </c>
      <c r="C14" s="7" t="s">
        <v>1914</v>
      </c>
      <c r="D14" s="30">
        <v>1203</v>
      </c>
      <c r="E14" s="46"/>
    </row>
    <row r="15" spans="1:5" ht="12.75" outlineLevel="2">
      <c r="A15" s="7" t="s">
        <v>1911</v>
      </c>
      <c r="B15" s="29" t="s">
        <v>849</v>
      </c>
      <c r="C15" s="7" t="s">
        <v>1914</v>
      </c>
      <c r="D15" s="30">
        <v>802</v>
      </c>
      <c r="E15" s="46"/>
    </row>
    <row r="16" spans="1:5" ht="12.75" outlineLevel="2">
      <c r="A16" s="7" t="s">
        <v>2060</v>
      </c>
      <c r="B16" s="29" t="s">
        <v>1951</v>
      </c>
      <c r="C16" s="7" t="s">
        <v>2061</v>
      </c>
      <c r="D16" s="30">
        <v>189.4</v>
      </c>
      <c r="E16" s="46"/>
    </row>
    <row r="17" spans="1:5" ht="12.75" outlineLevel="2">
      <c r="A17" s="7" t="s">
        <v>2067</v>
      </c>
      <c r="B17" s="29" t="s">
        <v>1951</v>
      </c>
      <c r="C17" s="7" t="s">
        <v>2068</v>
      </c>
      <c r="D17" s="30">
        <v>17128</v>
      </c>
      <c r="E17" s="46"/>
    </row>
    <row r="18" spans="1:5" ht="12.75" outlineLevel="2">
      <c r="A18" s="51" t="s">
        <v>238</v>
      </c>
      <c r="B18" s="52" t="s">
        <v>1951</v>
      </c>
      <c r="C18" s="7" t="s">
        <v>294</v>
      </c>
      <c r="D18" s="30">
        <v>6047</v>
      </c>
      <c r="E18" s="46"/>
    </row>
    <row r="19" spans="1:5" ht="12.75" outlineLevel="2">
      <c r="A19" s="50" t="s">
        <v>2076</v>
      </c>
      <c r="B19" s="29" t="s">
        <v>1952</v>
      </c>
      <c r="C19" s="7" t="s">
        <v>2077</v>
      </c>
      <c r="D19" s="30">
        <v>9232</v>
      </c>
      <c r="E19" s="46"/>
    </row>
    <row r="20" spans="1:5" ht="12.75" outlineLevel="2">
      <c r="A20" s="7" t="s">
        <v>2078</v>
      </c>
      <c r="B20" s="29" t="s">
        <v>1952</v>
      </c>
      <c r="C20" s="7" t="s">
        <v>2079</v>
      </c>
      <c r="D20" s="30">
        <v>2281</v>
      </c>
      <c r="E20" s="46"/>
    </row>
    <row r="21" spans="1:5" ht="12.75" outlineLevel="2">
      <c r="A21" s="7" t="s">
        <v>2080</v>
      </c>
      <c r="B21" s="29" t="s">
        <v>1952</v>
      </c>
      <c r="C21" s="7" t="s">
        <v>2081</v>
      </c>
      <c r="D21" s="30">
        <f>7541/7430*1174</f>
        <v>1191.5388963660832</v>
      </c>
      <c r="E21" s="46"/>
    </row>
    <row r="22" spans="1:5" ht="12.75" outlineLevel="2">
      <c r="A22" s="7" t="s">
        <v>2084</v>
      </c>
      <c r="B22" s="29" t="s">
        <v>1952</v>
      </c>
      <c r="C22" s="7" t="s">
        <v>2085</v>
      </c>
      <c r="D22" s="30">
        <f>3882/3789*924</f>
        <v>946.6793349168646</v>
      </c>
      <c r="E22" s="46"/>
    </row>
    <row r="23" spans="1:5" ht="12.75" outlineLevel="2">
      <c r="A23" s="8" t="s">
        <v>2086</v>
      </c>
      <c r="B23" s="29" t="s">
        <v>1952</v>
      </c>
      <c r="C23" s="7" t="s">
        <v>2087</v>
      </c>
      <c r="D23" s="31">
        <v>2255</v>
      </c>
      <c r="E23" s="46"/>
    </row>
    <row r="24" spans="1:5" ht="12.75" outlineLevel="2">
      <c r="A24" s="8" t="s">
        <v>2088</v>
      </c>
      <c r="B24" s="29" t="s">
        <v>1952</v>
      </c>
      <c r="C24" s="51" t="s">
        <v>2089</v>
      </c>
      <c r="D24" s="31">
        <f>4876/4802*519</f>
        <v>526.9979175343607</v>
      </c>
      <c r="E24" s="46"/>
    </row>
    <row r="25" spans="1:5" ht="12.75" outlineLevel="2">
      <c r="A25" s="8" t="s">
        <v>2090</v>
      </c>
      <c r="B25" s="29" t="s">
        <v>1952</v>
      </c>
      <c r="C25" s="7" t="s">
        <v>2091</v>
      </c>
      <c r="D25" s="31">
        <v>7029</v>
      </c>
      <c r="E25" s="46"/>
    </row>
    <row r="26" spans="1:5" ht="12.75" outlineLevel="2">
      <c r="A26" s="8" t="s">
        <v>2112</v>
      </c>
      <c r="B26" s="29" t="s">
        <v>1952</v>
      </c>
      <c r="C26" s="7" t="s">
        <v>2113</v>
      </c>
      <c r="D26" s="31">
        <v>22.88</v>
      </c>
      <c r="E26" s="46"/>
    </row>
    <row r="27" spans="1:5" ht="12.75" outlineLevel="2">
      <c r="A27" s="8" t="s">
        <v>2281</v>
      </c>
      <c r="B27" s="29" t="s">
        <v>1952</v>
      </c>
      <c r="C27" s="7" t="s">
        <v>666</v>
      </c>
      <c r="D27" s="31">
        <v>22.88</v>
      </c>
      <c r="E27" s="46"/>
    </row>
    <row r="28" spans="1:5" ht="12.75" outlineLevel="2">
      <c r="A28" s="7" t="s">
        <v>2379</v>
      </c>
      <c r="B28" s="29" t="s">
        <v>1952</v>
      </c>
      <c r="C28" s="7" t="s">
        <v>2375</v>
      </c>
      <c r="D28" s="30">
        <v>94.7</v>
      </c>
      <c r="E28" s="46"/>
    </row>
    <row r="29" spans="1:5" ht="12.75" outlineLevel="2">
      <c r="A29" s="8" t="s">
        <v>2092</v>
      </c>
      <c r="B29" s="29" t="s">
        <v>1953</v>
      </c>
      <c r="C29" s="7" t="s">
        <v>2093</v>
      </c>
      <c r="D29" s="31">
        <v>1237</v>
      </c>
      <c r="E29" s="46"/>
    </row>
    <row r="30" spans="1:5" ht="12.75" outlineLevel="2">
      <c r="A30" s="8" t="s">
        <v>2097</v>
      </c>
      <c r="B30" s="29" t="s">
        <v>1953</v>
      </c>
      <c r="C30" s="7" t="s">
        <v>2098</v>
      </c>
      <c r="D30" s="31">
        <v>1841</v>
      </c>
      <c r="E30" s="46"/>
    </row>
    <row r="31" spans="1:5" ht="12.75" outlineLevel="2">
      <c r="A31" s="8" t="s">
        <v>2099</v>
      </c>
      <c r="B31" s="29" t="s">
        <v>1953</v>
      </c>
      <c r="C31" s="7" t="s">
        <v>2100</v>
      </c>
      <c r="D31" s="31">
        <v>5999</v>
      </c>
      <c r="E31" s="46"/>
    </row>
    <row r="32" spans="1:5" ht="12.75" outlineLevel="2">
      <c r="A32" s="8" t="s">
        <v>2118</v>
      </c>
      <c r="B32" s="52" t="s">
        <v>1953</v>
      </c>
      <c r="C32" s="7" t="s">
        <v>2119</v>
      </c>
      <c r="D32" s="31">
        <v>189.4</v>
      </c>
      <c r="E32" s="46"/>
    </row>
    <row r="33" spans="1:5" ht="12.75" outlineLevel="2">
      <c r="A33" s="8" t="s">
        <v>2097</v>
      </c>
      <c r="B33" s="29" t="s">
        <v>1953</v>
      </c>
      <c r="C33" s="7" t="s">
        <v>2302</v>
      </c>
      <c r="D33" s="31">
        <v>1841</v>
      </c>
      <c r="E33" s="46"/>
    </row>
    <row r="34" spans="1:5" ht="12.75" outlineLevel="2">
      <c r="A34" s="55" t="s">
        <v>2315</v>
      </c>
      <c r="B34" s="52" t="s">
        <v>1953</v>
      </c>
      <c r="C34" s="51" t="s">
        <v>2319</v>
      </c>
      <c r="D34" s="31">
        <v>602</v>
      </c>
      <c r="E34" s="46"/>
    </row>
    <row r="35" spans="1:5" ht="12.75" outlineLevel="2">
      <c r="A35" s="55" t="s">
        <v>2099</v>
      </c>
      <c r="B35" s="52" t="s">
        <v>1953</v>
      </c>
      <c r="C35" s="51" t="s">
        <v>2330</v>
      </c>
      <c r="D35" s="31">
        <v>5999</v>
      </c>
      <c r="E35" s="46"/>
    </row>
    <row r="36" spans="1:5" ht="12.75" outlineLevel="2">
      <c r="A36" s="8" t="s">
        <v>2305</v>
      </c>
      <c r="B36" s="29" t="s">
        <v>1953</v>
      </c>
      <c r="C36" s="7" t="s">
        <v>2308</v>
      </c>
      <c r="D36" s="31">
        <v>971</v>
      </c>
      <c r="E36" s="46"/>
    </row>
    <row r="37" spans="1:5" ht="12.75" outlineLevel="2">
      <c r="A37" s="8" t="s">
        <v>2092</v>
      </c>
      <c r="B37" s="29" t="s">
        <v>1953</v>
      </c>
      <c r="C37" s="7" t="s">
        <v>2469</v>
      </c>
      <c r="D37" s="31">
        <v>1237</v>
      </c>
      <c r="E37" s="46"/>
    </row>
    <row r="38" spans="1:5" ht="12.75" outlineLevel="2">
      <c r="A38" s="8" t="s">
        <v>1325</v>
      </c>
      <c r="B38" s="29" t="s">
        <v>1953</v>
      </c>
      <c r="C38" s="7" t="s">
        <v>1326</v>
      </c>
      <c r="D38" s="31">
        <v>189.4</v>
      </c>
      <c r="E38" s="46"/>
    </row>
    <row r="39" spans="1:5" ht="12.75" outlineLevel="2">
      <c r="A39" s="8" t="s">
        <v>1315</v>
      </c>
      <c r="B39" s="29" t="s">
        <v>1953</v>
      </c>
      <c r="C39" s="7" t="s">
        <v>666</v>
      </c>
      <c r="D39" s="31">
        <v>7.63</v>
      </c>
      <c r="E39" s="46"/>
    </row>
    <row r="40" spans="1:5" ht="12.75" outlineLevel="2">
      <c r="A40" s="8" t="s">
        <v>2605</v>
      </c>
      <c r="B40" s="29" t="s">
        <v>1954</v>
      </c>
      <c r="C40" s="7" t="s">
        <v>2607</v>
      </c>
      <c r="D40" s="31">
        <v>459</v>
      </c>
      <c r="E40" s="46"/>
    </row>
    <row r="41" spans="1:5" ht="12.75" outlineLevel="2">
      <c r="A41" s="55" t="s">
        <v>2639</v>
      </c>
      <c r="B41" s="52" t="s">
        <v>1954</v>
      </c>
      <c r="C41" s="51" t="s">
        <v>2642</v>
      </c>
      <c r="D41" s="31">
        <v>410</v>
      </c>
      <c r="E41" s="46"/>
    </row>
    <row r="42" spans="1:5" ht="12.75" outlineLevel="2">
      <c r="A42" s="8" t="s">
        <v>2650</v>
      </c>
      <c r="B42" s="29" t="s">
        <v>1954</v>
      </c>
      <c r="C42" s="7" t="s">
        <v>2652</v>
      </c>
      <c r="D42" s="31">
        <v>59</v>
      </c>
      <c r="E42" s="46"/>
    </row>
    <row r="43" spans="1:5" ht="12.75" outlineLevel="2">
      <c r="A43" s="8" t="s">
        <v>588</v>
      </c>
      <c r="B43" s="29" t="s">
        <v>1954</v>
      </c>
      <c r="C43" s="7" t="s">
        <v>559</v>
      </c>
      <c r="D43" s="31">
        <v>137.27</v>
      </c>
      <c r="E43" s="46"/>
    </row>
    <row r="44" spans="1:5" ht="25.5" outlineLevel="2">
      <c r="A44" s="8" t="s">
        <v>589</v>
      </c>
      <c r="B44" s="29" t="s">
        <v>1954</v>
      </c>
      <c r="C44" s="7" t="s">
        <v>590</v>
      </c>
      <c r="D44" s="31">
        <v>13000</v>
      </c>
      <c r="E44" s="46"/>
    </row>
    <row r="45" spans="1:5" ht="12.75" outlineLevel="2">
      <c r="A45" s="8" t="s">
        <v>2784</v>
      </c>
      <c r="B45" s="29" t="s">
        <v>1954</v>
      </c>
      <c r="C45" s="8" t="s">
        <v>1328</v>
      </c>
      <c r="D45" s="31">
        <v>189.4</v>
      </c>
      <c r="E45" s="46"/>
    </row>
    <row r="46" spans="1:5" ht="25.5" outlineLevel="2">
      <c r="A46" s="8" t="s">
        <v>181</v>
      </c>
      <c r="B46" s="29" t="s">
        <v>1955</v>
      </c>
      <c r="C46" s="8" t="s">
        <v>974</v>
      </c>
      <c r="D46" s="31">
        <v>1919</v>
      </c>
      <c r="E46" s="46"/>
    </row>
    <row r="47" spans="1:5" ht="12.75" outlineLevel="2">
      <c r="A47" s="8" t="s">
        <v>375</v>
      </c>
      <c r="B47" s="29" t="s">
        <v>1955</v>
      </c>
      <c r="C47" s="8" t="s">
        <v>371</v>
      </c>
      <c r="D47" s="31">
        <v>94.7</v>
      </c>
      <c r="E47" s="46"/>
    </row>
    <row r="48" spans="1:5" ht="12.75" outlineLevel="2">
      <c r="A48" s="8" t="s">
        <v>439</v>
      </c>
      <c r="B48" s="29" t="s">
        <v>1955</v>
      </c>
      <c r="C48" s="8" t="s">
        <v>424</v>
      </c>
      <c r="D48" s="31">
        <v>5292</v>
      </c>
      <c r="E48" s="46"/>
    </row>
    <row r="49" spans="1:5" ht="12.75" outlineLevel="2">
      <c r="A49" s="8" t="s">
        <v>1930</v>
      </c>
      <c r="B49" s="29" t="s">
        <v>1955</v>
      </c>
      <c r="C49" s="8" t="s">
        <v>424</v>
      </c>
      <c r="D49" s="31">
        <v>2903.68</v>
      </c>
      <c r="E49" s="46"/>
    </row>
    <row r="50" spans="1:5" ht="25.5" outlineLevel="2">
      <c r="A50" s="8" t="s">
        <v>2591</v>
      </c>
      <c r="B50" s="29" t="s">
        <v>1957</v>
      </c>
      <c r="C50" s="8" t="s">
        <v>2592</v>
      </c>
      <c r="D50" s="31">
        <v>30.5</v>
      </c>
      <c r="E50" s="46"/>
    </row>
    <row r="51" spans="1:5" ht="12.75" outlineLevel="2">
      <c r="A51" s="8" t="s">
        <v>1212</v>
      </c>
      <c r="B51" s="29" t="s">
        <v>1957</v>
      </c>
      <c r="C51" s="7" t="s">
        <v>1213</v>
      </c>
      <c r="D51" s="31">
        <v>14560</v>
      </c>
      <c r="E51" s="46"/>
    </row>
    <row r="52" spans="1:5" ht="12.75" outlineLevel="2">
      <c r="A52" s="8" t="s">
        <v>326</v>
      </c>
      <c r="B52" s="29" t="s">
        <v>1958</v>
      </c>
      <c r="C52" s="8" t="s">
        <v>865</v>
      </c>
      <c r="D52" s="31">
        <v>338</v>
      </c>
      <c r="E52" s="46"/>
    </row>
    <row r="53" spans="1:5" ht="12.75" outlineLevel="2">
      <c r="A53" s="8" t="s">
        <v>2121</v>
      </c>
      <c r="B53" s="29" t="s">
        <v>1959</v>
      </c>
      <c r="C53" s="8" t="s">
        <v>2122</v>
      </c>
      <c r="D53" s="31">
        <v>1403</v>
      </c>
      <c r="E53" s="46"/>
    </row>
    <row r="54" spans="1:5" ht="12.75" outlineLevel="2">
      <c r="A54" s="8" t="s">
        <v>2002</v>
      </c>
      <c r="B54" s="29" t="s">
        <v>1959</v>
      </c>
      <c r="C54" s="8" t="s">
        <v>2003</v>
      </c>
      <c r="D54" s="31">
        <v>593</v>
      </c>
      <c r="E54" s="46"/>
    </row>
    <row r="55" spans="1:5" ht="12.75" outlineLevel="2">
      <c r="A55" s="8" t="s">
        <v>2036</v>
      </c>
      <c r="B55" s="29" t="s">
        <v>1960</v>
      </c>
      <c r="C55" s="8" t="s">
        <v>2039</v>
      </c>
      <c r="D55" s="31">
        <v>306.75</v>
      </c>
      <c r="E55" s="46"/>
    </row>
    <row r="56" spans="1:5" ht="12.75" outlineLevel="2">
      <c r="A56" s="8" t="s">
        <v>2758</v>
      </c>
      <c r="B56" s="29" t="s">
        <v>1960</v>
      </c>
      <c r="C56" s="8" t="s">
        <v>2759</v>
      </c>
      <c r="D56" s="31">
        <v>5153.39</v>
      </c>
      <c r="E56" s="46"/>
    </row>
    <row r="57" spans="1:5" ht="12.75" outlineLevel="2">
      <c r="A57" s="8" t="s">
        <v>821</v>
      </c>
      <c r="B57" s="29" t="s">
        <v>1960</v>
      </c>
      <c r="C57" s="8" t="s">
        <v>822</v>
      </c>
      <c r="D57" s="31">
        <v>153.33</v>
      </c>
      <c r="E57" s="46"/>
    </row>
    <row r="58" spans="1:5" ht="12.75" outlineLevel="2">
      <c r="A58" s="8" t="s">
        <v>278</v>
      </c>
      <c r="B58" s="29" t="s">
        <v>1960</v>
      </c>
      <c r="C58" s="8" t="s">
        <v>279</v>
      </c>
      <c r="D58" s="31">
        <v>2391.45</v>
      </c>
      <c r="E58" s="46"/>
    </row>
    <row r="59" spans="1:5" ht="12.75" outlineLevel="2">
      <c r="A59" s="8" t="s">
        <v>871</v>
      </c>
      <c r="B59" s="29" t="s">
        <v>1959</v>
      </c>
      <c r="C59" s="7" t="s">
        <v>2727</v>
      </c>
      <c r="D59" s="30">
        <v>1334.41</v>
      </c>
      <c r="E59" s="46"/>
    </row>
    <row r="60" spans="1:5" ht="12.75" outlineLevel="2">
      <c r="A60" s="8" t="s">
        <v>954</v>
      </c>
      <c r="B60" s="29" t="s">
        <v>1960</v>
      </c>
      <c r="C60" s="8" t="s">
        <v>921</v>
      </c>
      <c r="D60" s="31">
        <v>1136.4</v>
      </c>
      <c r="E60" s="46"/>
    </row>
    <row r="61" spans="1:5" ht="25.5" outlineLevel="2">
      <c r="A61" s="8" t="s">
        <v>724</v>
      </c>
      <c r="B61" s="29" t="s">
        <v>1961</v>
      </c>
      <c r="C61" s="8" t="s">
        <v>725</v>
      </c>
      <c r="D61" s="31">
        <v>1357</v>
      </c>
      <c r="E61" s="46"/>
    </row>
    <row r="62" spans="1:5" ht="12.75" outlineLevel="2">
      <c r="A62" s="55" t="s">
        <v>1466</v>
      </c>
      <c r="B62" s="52" t="s">
        <v>1961</v>
      </c>
      <c r="C62" s="51" t="s">
        <v>1493</v>
      </c>
      <c r="D62" s="31">
        <v>1190</v>
      </c>
      <c r="E62" s="46"/>
    </row>
    <row r="63" spans="1:5" ht="12.75" outlineLevel="2">
      <c r="A63" s="55" t="s">
        <v>1492</v>
      </c>
      <c r="B63" s="52" t="s">
        <v>1961</v>
      </c>
      <c r="C63" s="51" t="s">
        <v>1494</v>
      </c>
      <c r="D63" s="31">
        <v>767</v>
      </c>
      <c r="E63" s="46"/>
    </row>
    <row r="64" spans="1:5" ht="12.75" outlineLevel="2">
      <c r="A64" s="8" t="s">
        <v>1528</v>
      </c>
      <c r="B64" s="52" t="s">
        <v>1961</v>
      </c>
      <c r="C64" s="55" t="s">
        <v>1516</v>
      </c>
      <c r="D64" s="31">
        <v>15.25</v>
      </c>
      <c r="E64" s="46"/>
    </row>
    <row r="65" spans="1:5" ht="12.75" outlineLevel="2">
      <c r="A65" s="8" t="s">
        <v>1529</v>
      </c>
      <c r="B65" s="52" t="s">
        <v>1961</v>
      </c>
      <c r="C65" s="55" t="s">
        <v>1516</v>
      </c>
      <c r="D65" s="31">
        <v>7.63</v>
      </c>
      <c r="E65" s="46"/>
    </row>
    <row r="66" spans="1:5" ht="12.75" outlineLevel="2">
      <c r="A66" s="8" t="s">
        <v>1530</v>
      </c>
      <c r="B66" s="52" t="s">
        <v>1961</v>
      </c>
      <c r="C66" s="55" t="s">
        <v>1516</v>
      </c>
      <c r="D66" s="31">
        <v>7.63</v>
      </c>
      <c r="E66" s="46"/>
    </row>
    <row r="67" spans="1:5" ht="12.75" outlineLevel="2">
      <c r="A67" s="8" t="s">
        <v>1531</v>
      </c>
      <c r="B67" s="52" t="s">
        <v>1961</v>
      </c>
      <c r="C67" s="55" t="s">
        <v>1516</v>
      </c>
      <c r="D67" s="31">
        <v>22.88</v>
      </c>
      <c r="E67" s="46"/>
    </row>
    <row r="68" spans="1:5" ht="12.75" outlineLevel="1">
      <c r="A68" s="117" t="s">
        <v>1340</v>
      </c>
      <c r="B68" s="118"/>
      <c r="C68" s="119"/>
      <c r="D68" s="28">
        <f>SUM(D69:D69)</f>
        <v>1535</v>
      </c>
      <c r="E68" s="46"/>
    </row>
    <row r="69" spans="1:5" ht="12.75" outlineLevel="2">
      <c r="A69" s="8" t="s">
        <v>1993</v>
      </c>
      <c r="B69" s="29" t="s">
        <v>1959</v>
      </c>
      <c r="C69" s="8" t="s">
        <v>1994</v>
      </c>
      <c r="D69" s="31">
        <v>1535</v>
      </c>
      <c r="E69" s="46"/>
    </row>
    <row r="70" spans="1:5" ht="12.75" outlineLevel="1">
      <c r="A70" s="117" t="s">
        <v>1342</v>
      </c>
      <c r="B70" s="118"/>
      <c r="C70" s="119"/>
      <c r="D70" s="28">
        <f>SUM(D71:D73)</f>
        <v>71951</v>
      </c>
      <c r="E70" s="46"/>
    </row>
    <row r="71" spans="1:5" ht="12.75" outlineLevel="2">
      <c r="A71" s="51" t="s">
        <v>1669</v>
      </c>
      <c r="B71" s="52" t="s">
        <v>1952</v>
      </c>
      <c r="C71" s="51" t="s">
        <v>1668</v>
      </c>
      <c r="D71" s="30">
        <v>18017</v>
      </c>
      <c r="E71" s="46"/>
    </row>
    <row r="72" spans="1:5" ht="12.75" outlineLevel="2">
      <c r="A72" s="7" t="s">
        <v>1222</v>
      </c>
      <c r="B72" s="29" t="s">
        <v>1957</v>
      </c>
      <c r="C72" s="7" t="s">
        <v>1220</v>
      </c>
      <c r="D72" s="30">
        <v>30851</v>
      </c>
      <c r="E72" s="46"/>
    </row>
    <row r="73" spans="1:5" ht="12.75" outlineLevel="2">
      <c r="A73" s="7" t="s">
        <v>901</v>
      </c>
      <c r="B73" s="29" t="s">
        <v>1958</v>
      </c>
      <c r="C73" s="7" t="s">
        <v>1220</v>
      </c>
      <c r="D73" s="30">
        <v>23083</v>
      </c>
      <c r="E73" s="46"/>
    </row>
    <row r="74" spans="1:5" ht="12.75" outlineLevel="1">
      <c r="A74" s="117" t="s">
        <v>1344</v>
      </c>
      <c r="B74" s="118"/>
      <c r="C74" s="119"/>
      <c r="D74" s="28">
        <f>SUM(D75:D86)</f>
        <v>163773.4</v>
      </c>
      <c r="E74" s="46"/>
    </row>
    <row r="75" spans="1:5" ht="12.75" outlineLevel="2">
      <c r="A75" s="7"/>
      <c r="B75" s="29" t="s">
        <v>849</v>
      </c>
      <c r="C75" s="7" t="s">
        <v>1967</v>
      </c>
      <c r="D75" s="30">
        <f>2900.08+2694.66+1601.17+3788.14+1640.23+1015.38</f>
        <v>13639.659999999998</v>
      </c>
      <c r="E75" s="46"/>
    </row>
    <row r="76" spans="1:5" ht="12.75" outlineLevel="2">
      <c r="A76" s="7"/>
      <c r="B76" s="29" t="s">
        <v>1951</v>
      </c>
      <c r="C76" s="7" t="s">
        <v>1967</v>
      </c>
      <c r="D76" s="30">
        <f>3085.19+2694.66+1601.17+3788.14+1640.23+1015.38</f>
        <v>13824.769999999999</v>
      </c>
      <c r="E76" s="46"/>
    </row>
    <row r="77" spans="1:5" ht="12.75" outlineLevel="2">
      <c r="A77" s="7"/>
      <c r="B77" s="29" t="s">
        <v>1952</v>
      </c>
      <c r="C77" s="7" t="s">
        <v>1967</v>
      </c>
      <c r="D77" s="30">
        <f>3085.19+2694.66+1601.17+3788.14+1640.23+1015.38+234.32</f>
        <v>14059.089999999998</v>
      </c>
      <c r="E77" s="46"/>
    </row>
    <row r="78" spans="1:5" ht="12.75" outlineLevel="2">
      <c r="A78" s="7"/>
      <c r="B78" s="29" t="s">
        <v>1953</v>
      </c>
      <c r="C78" s="7" t="s">
        <v>1967</v>
      </c>
      <c r="D78" s="30">
        <f>3085.19+2382.23+5389.31+1562.12+1015.38+234.32</f>
        <v>13668.549999999997</v>
      </c>
      <c r="E78" s="46"/>
    </row>
    <row r="79" spans="1:5" ht="12.75" outlineLevel="2">
      <c r="A79" s="7"/>
      <c r="B79" s="29" t="s">
        <v>1954</v>
      </c>
      <c r="C79" s="7" t="s">
        <v>1967</v>
      </c>
      <c r="D79" s="30">
        <f>3085.19+2069.81+5311.2+1444.96+976.33+234.32+106.22</f>
        <v>13228.029999999999</v>
      </c>
      <c r="E79" s="46"/>
    </row>
    <row r="80" spans="1:5" ht="12.75" outlineLevel="2">
      <c r="A80" s="7"/>
      <c r="B80" s="29" t="s">
        <v>1955</v>
      </c>
      <c r="C80" s="7" t="s">
        <v>1967</v>
      </c>
      <c r="D80" s="30">
        <f>2694.65+722.48+488.16</f>
        <v>3905.29</v>
      </c>
      <c r="E80" s="46"/>
    </row>
    <row r="81" spans="1:5" ht="12.75" outlineLevel="2">
      <c r="A81" s="7"/>
      <c r="B81" s="29" t="s">
        <v>1956</v>
      </c>
      <c r="C81" s="7" t="s">
        <v>1967</v>
      </c>
      <c r="D81" s="30">
        <f>3436.66+2304.13+6014.16+1601.17+1093.48</f>
        <v>14449.6</v>
      </c>
      <c r="E81" s="46"/>
    </row>
    <row r="82" spans="1:5" ht="12.75" outlineLevel="2">
      <c r="A82" s="7"/>
      <c r="B82" s="29" t="s">
        <v>1957</v>
      </c>
      <c r="C82" s="7" t="s">
        <v>1967</v>
      </c>
      <c r="D82" s="30">
        <f>3436.66+2304.13+6014.16+1601.17+1093.48+4100.57</f>
        <v>18550.17</v>
      </c>
      <c r="E82" s="46"/>
    </row>
    <row r="83" spans="1:5" ht="12.75" outlineLevel="2">
      <c r="A83" s="7"/>
      <c r="B83" s="29" t="s">
        <v>1958</v>
      </c>
      <c r="C83" s="7" t="s">
        <v>1967</v>
      </c>
      <c r="D83" s="30">
        <f>3436.66+2304.13+6014.16+1601.17+1093.48</f>
        <v>14449.6</v>
      </c>
      <c r="E83" s="46"/>
    </row>
    <row r="84" spans="1:5" ht="12.75" outlineLevel="2">
      <c r="A84" s="7"/>
      <c r="B84" s="29" t="s">
        <v>1959</v>
      </c>
      <c r="C84" s="7" t="s">
        <v>1967</v>
      </c>
      <c r="D84" s="30">
        <f>3436.66+2304.13+6014.16+1601.17+470.2</f>
        <v>13826.320000000002</v>
      </c>
      <c r="E84" s="46"/>
    </row>
    <row r="85" spans="1:5" ht="12.75" outlineLevel="2">
      <c r="A85" s="7"/>
      <c r="B85" s="29" t="s">
        <v>1960</v>
      </c>
      <c r="C85" s="7" t="s">
        <v>1967</v>
      </c>
      <c r="D85" s="30">
        <f>3436.66+3007.08+1796.44+4217.72+1835.49+1093.48</f>
        <v>15386.87</v>
      </c>
      <c r="E85" s="46"/>
    </row>
    <row r="86" spans="1:5" ht="12.75" outlineLevel="2">
      <c r="A86" s="11"/>
      <c r="B86" s="29" t="s">
        <v>1961</v>
      </c>
      <c r="C86" s="7" t="s">
        <v>1967</v>
      </c>
      <c r="D86" s="30">
        <f>3436.66+2405.66+1796.44+4217.72+1835.49+1093.48</f>
        <v>14785.449999999999</v>
      </c>
      <c r="E86" s="46"/>
    </row>
    <row r="87" spans="1:5" ht="12.75" outlineLevel="1">
      <c r="A87" s="117" t="s">
        <v>1346</v>
      </c>
      <c r="B87" s="118"/>
      <c r="C87" s="119"/>
      <c r="D87" s="28">
        <f>SUM(D88:D100)</f>
        <v>12915.396666666666</v>
      </c>
      <c r="E87" s="46"/>
    </row>
    <row r="88" spans="1:5" ht="12.75" outlineLevel="2">
      <c r="A88" s="7" t="s">
        <v>1711</v>
      </c>
      <c r="B88" s="29" t="s">
        <v>849</v>
      </c>
      <c r="C88" s="7" t="s">
        <v>1712</v>
      </c>
      <c r="D88" s="30">
        <v>761</v>
      </c>
      <c r="E88" s="46"/>
    </row>
    <row r="89" spans="1:5" ht="12.75" outlineLevel="2">
      <c r="A89" s="7" t="s">
        <v>2065</v>
      </c>
      <c r="B89" s="29" t="s">
        <v>1951</v>
      </c>
      <c r="C89" s="7" t="s">
        <v>1712</v>
      </c>
      <c r="D89" s="30">
        <f>(3600+351+2800)/6</f>
        <v>1125.1666666666667</v>
      </c>
      <c r="E89" s="46"/>
    </row>
    <row r="90" spans="1:5" ht="12.75" outlineLevel="2">
      <c r="A90" s="7" t="s">
        <v>2066</v>
      </c>
      <c r="B90" s="29" t="s">
        <v>1951</v>
      </c>
      <c r="C90" s="7" t="s">
        <v>1712</v>
      </c>
      <c r="D90" s="30">
        <f>(1800+175+1400)/6</f>
        <v>562.5</v>
      </c>
      <c r="E90" s="46"/>
    </row>
    <row r="91" spans="1:5" ht="12.75" outlineLevel="2">
      <c r="A91" s="7" t="s">
        <v>2110</v>
      </c>
      <c r="B91" s="29" t="s">
        <v>1952</v>
      </c>
      <c r="C91" s="7" t="s">
        <v>2111</v>
      </c>
      <c r="D91" s="30">
        <v>365.04</v>
      </c>
      <c r="E91" s="46"/>
    </row>
    <row r="92" spans="1:5" ht="12.75" outlineLevel="2">
      <c r="A92" s="7" t="s">
        <v>2114</v>
      </c>
      <c r="B92" s="29" t="s">
        <v>1953</v>
      </c>
      <c r="C92" s="7" t="s">
        <v>2115</v>
      </c>
      <c r="D92" s="30">
        <f>6000/4</f>
        <v>1500</v>
      </c>
      <c r="E92" s="46"/>
    </row>
    <row r="93" spans="1:5" ht="12.75" outlineLevel="2">
      <c r="A93" s="7" t="s">
        <v>2116</v>
      </c>
      <c r="B93" s="52" t="s">
        <v>1953</v>
      </c>
      <c r="C93" s="7" t="s">
        <v>2117</v>
      </c>
      <c r="D93" s="30">
        <v>1716</v>
      </c>
      <c r="E93" s="46"/>
    </row>
    <row r="94" spans="1:5" ht="12.75" outlineLevel="2">
      <c r="A94" s="51" t="s">
        <v>2251</v>
      </c>
      <c r="B94" s="29" t="s">
        <v>1952</v>
      </c>
      <c r="C94" s="7" t="s">
        <v>2393</v>
      </c>
      <c r="D94" s="30">
        <v>400</v>
      </c>
      <c r="E94" s="46"/>
    </row>
    <row r="95" spans="1:5" ht="12.75" outlineLevel="2">
      <c r="A95" s="51" t="s">
        <v>2251</v>
      </c>
      <c r="B95" s="29" t="s">
        <v>1952</v>
      </c>
      <c r="C95" s="7" t="s">
        <v>2394</v>
      </c>
      <c r="D95" s="30">
        <v>39</v>
      </c>
      <c r="E95" s="46"/>
    </row>
    <row r="96" spans="1:5" ht="12.75" outlineLevel="2">
      <c r="A96" s="51" t="s">
        <v>2251</v>
      </c>
      <c r="B96" s="29" t="s">
        <v>1952</v>
      </c>
      <c r="C96" s="7" t="s">
        <v>2390</v>
      </c>
      <c r="D96" s="30">
        <v>311.11</v>
      </c>
      <c r="E96" s="46"/>
    </row>
    <row r="97" spans="1:5" ht="12.75" outlineLevel="2">
      <c r="A97" s="7" t="s">
        <v>2566</v>
      </c>
      <c r="B97" s="29" t="s">
        <v>1957</v>
      </c>
      <c r="C97" s="7" t="s">
        <v>2568</v>
      </c>
      <c r="D97" s="30">
        <v>2638</v>
      </c>
      <c r="E97" s="46"/>
    </row>
    <row r="98" spans="1:5" ht="12.75" outlineLevel="2">
      <c r="A98" s="7" t="s">
        <v>1795</v>
      </c>
      <c r="B98" s="29" t="s">
        <v>1958</v>
      </c>
      <c r="C98" s="7" t="s">
        <v>1796</v>
      </c>
      <c r="D98" s="30">
        <v>233.68</v>
      </c>
      <c r="E98" s="46"/>
    </row>
    <row r="99" spans="1:5" ht="12.75" outlineLevel="2">
      <c r="A99" s="51" t="s">
        <v>220</v>
      </c>
      <c r="B99" s="52" t="s">
        <v>1961</v>
      </c>
      <c r="C99" s="51" t="s">
        <v>221</v>
      </c>
      <c r="D99" s="30">
        <v>1263.9</v>
      </c>
      <c r="E99" s="46"/>
    </row>
    <row r="100" spans="1:5" ht="12.75" outlineLevel="2">
      <c r="A100" s="51" t="s">
        <v>1418</v>
      </c>
      <c r="B100" s="52" t="s">
        <v>1961</v>
      </c>
      <c r="C100" s="51" t="s">
        <v>1419</v>
      </c>
      <c r="D100" s="30">
        <v>2000</v>
      </c>
      <c r="E100" s="46"/>
    </row>
    <row r="101" spans="1:5" ht="12.75" outlineLevel="1">
      <c r="A101" s="117" t="s">
        <v>1341</v>
      </c>
      <c r="B101" s="118"/>
      <c r="C101" s="119"/>
      <c r="D101" s="28">
        <f>SUM(D102:D108)</f>
        <v>8361.85142417244</v>
      </c>
      <c r="E101" s="46"/>
    </row>
    <row r="102" spans="1:5" ht="12.75" outlineLevel="2">
      <c r="A102" s="7" t="s">
        <v>2062</v>
      </c>
      <c r="B102" s="52" t="s">
        <v>1951</v>
      </c>
      <c r="C102" s="7" t="s">
        <v>2064</v>
      </c>
      <c r="D102" s="30">
        <v>3840</v>
      </c>
      <c r="E102" s="46"/>
    </row>
    <row r="103" spans="1:5" ht="25.5" outlineLevel="2">
      <c r="A103" s="7" t="s">
        <v>2069</v>
      </c>
      <c r="B103" s="52" t="s">
        <v>1952</v>
      </c>
      <c r="C103" s="7" t="s">
        <v>2071</v>
      </c>
      <c r="D103" s="30">
        <v>1166</v>
      </c>
      <c r="E103" s="46"/>
    </row>
    <row r="104" spans="1:5" ht="12.75" outlineLevel="2">
      <c r="A104" s="50" t="s">
        <v>2073</v>
      </c>
      <c r="B104" s="52" t="s">
        <v>1952</v>
      </c>
      <c r="C104" s="7" t="s">
        <v>2072</v>
      </c>
      <c r="D104" s="30">
        <f>1420/1299*299</f>
        <v>326.8514241724403</v>
      </c>
      <c r="E104" s="46"/>
    </row>
    <row r="105" spans="1:5" ht="12.75" outlineLevel="2">
      <c r="A105" s="7" t="s">
        <v>522</v>
      </c>
      <c r="B105" s="29" t="s">
        <v>1952</v>
      </c>
      <c r="C105" s="7" t="s">
        <v>524</v>
      </c>
      <c r="D105" s="30">
        <v>299</v>
      </c>
      <c r="E105" s="46"/>
    </row>
    <row r="106" spans="1:5" ht="12.75" outlineLevel="2">
      <c r="A106" s="7" t="s">
        <v>2094</v>
      </c>
      <c r="B106" s="52" t="s">
        <v>1953</v>
      </c>
      <c r="C106" s="7" t="s">
        <v>2096</v>
      </c>
      <c r="D106" s="30">
        <v>1020</v>
      </c>
      <c r="E106" s="46"/>
    </row>
    <row r="107" spans="1:5" ht="12.75" outlineLevel="2">
      <c r="A107" s="7" t="s">
        <v>2094</v>
      </c>
      <c r="B107" s="29" t="s">
        <v>1953</v>
      </c>
      <c r="C107" s="7" t="s">
        <v>2539</v>
      </c>
      <c r="D107" s="30">
        <v>1020</v>
      </c>
      <c r="E107" s="46"/>
    </row>
    <row r="108" spans="1:4" ht="12.75" outlineLevel="2">
      <c r="A108" s="7" t="s">
        <v>1264</v>
      </c>
      <c r="B108" s="7" t="s">
        <v>1954</v>
      </c>
      <c r="C108" s="7" t="s">
        <v>1265</v>
      </c>
      <c r="D108" s="16">
        <v>690</v>
      </c>
    </row>
    <row r="109" spans="1:5" ht="12.75" customHeight="1">
      <c r="A109" s="151" t="s">
        <v>1349</v>
      </c>
      <c r="B109" s="151"/>
      <c r="C109" s="151"/>
      <c r="D109" s="32">
        <f>SUM(D110:D111)</f>
        <v>898883</v>
      </c>
      <c r="E109" s="45"/>
    </row>
    <row r="110" spans="1:5" ht="12.75" outlineLevel="1">
      <c r="A110" s="13" t="s">
        <v>2108</v>
      </c>
      <c r="B110" s="29" t="s">
        <v>1953</v>
      </c>
      <c r="C110" s="13" t="s">
        <v>2109</v>
      </c>
      <c r="D110" s="36">
        <v>883283</v>
      </c>
      <c r="E110" s="46"/>
    </row>
    <row r="111" spans="1:5" ht="28.5" customHeight="1" outlineLevel="1">
      <c r="A111" s="59" t="s">
        <v>2406</v>
      </c>
      <c r="B111" s="29" t="s">
        <v>1953</v>
      </c>
      <c r="C111" s="63" t="s">
        <v>1622</v>
      </c>
      <c r="D111" s="36">
        <v>15600</v>
      </c>
      <c r="E111" s="46"/>
    </row>
    <row r="112" spans="1:6" ht="12.75">
      <c r="A112" s="6">
        <v>3905.3</v>
      </c>
      <c r="B112" s="6" t="s">
        <v>1356</v>
      </c>
      <c r="C112" s="37" t="s">
        <v>1345</v>
      </c>
      <c r="D112" s="23">
        <f>(3905.3*6*1.46)+(3905.3*6*1.63)</f>
        <v>72404.262</v>
      </c>
      <c r="E112" s="46"/>
      <c r="F112" s="37" t="s">
        <v>1352</v>
      </c>
    </row>
    <row r="113" spans="1:6" ht="13.5" thickBot="1">
      <c r="A113" s="6">
        <v>3905.3</v>
      </c>
      <c r="B113" s="6" t="s">
        <v>1356</v>
      </c>
      <c r="C113" s="37" t="s">
        <v>1357</v>
      </c>
      <c r="D113" s="23">
        <f>(3905.3*6*0.1)+(3905.3*6*0.11)</f>
        <v>4920.678000000001</v>
      </c>
      <c r="E113" s="46"/>
      <c r="F113" s="37" t="s">
        <v>1351</v>
      </c>
    </row>
    <row r="114" spans="1:6" ht="12.75" customHeight="1" thickTop="1">
      <c r="A114" s="132" t="s">
        <v>1361</v>
      </c>
      <c r="B114" s="133"/>
      <c r="C114" s="134"/>
      <c r="D114" s="76">
        <f>(3905.3*6*0.94)+(3905.3*6*1.03)</f>
        <v>46160.64600000001</v>
      </c>
      <c r="E114" s="48"/>
      <c r="F114" s="14" t="s">
        <v>787</v>
      </c>
    </row>
    <row r="115" spans="1:6" ht="12.75" customHeight="1">
      <c r="A115" s="125" t="s">
        <v>1350</v>
      </c>
      <c r="B115" s="126"/>
      <c r="C115" s="127"/>
      <c r="D115" s="76">
        <f>(3905.3*6*1.57)+(3905.3*6*1.75)</f>
        <v>77793.57600000002</v>
      </c>
      <c r="E115" s="48"/>
      <c r="F115" s="14" t="s">
        <v>788</v>
      </c>
    </row>
    <row r="116" spans="1:6" ht="12.75" customHeight="1">
      <c r="A116" s="125" t="s">
        <v>1362</v>
      </c>
      <c r="B116" s="126"/>
      <c r="C116" s="127"/>
      <c r="D116" s="18">
        <f>10.3*(D118+D119)/100</f>
        <v>109326.78839</v>
      </c>
      <c r="E116" s="48"/>
      <c r="F116" s="14" t="s">
        <v>789</v>
      </c>
    </row>
    <row r="117" spans="1:6" ht="12.75" customHeight="1">
      <c r="A117" s="120" t="s">
        <v>1363</v>
      </c>
      <c r="B117" s="121"/>
      <c r="C117" s="122"/>
      <c r="D117" s="41">
        <f>D116+D115+D114+D9+D3</f>
        <v>926468.7746296565</v>
      </c>
      <c r="E117" s="48">
        <v>1</v>
      </c>
      <c r="F117" s="14" t="s">
        <v>790</v>
      </c>
    </row>
    <row r="118" spans="1:6" ht="12.75" customHeight="1">
      <c r="A118" s="114" t="s">
        <v>1364</v>
      </c>
      <c r="B118" s="115"/>
      <c r="C118" s="116"/>
      <c r="D118" s="18">
        <v>932554.87</v>
      </c>
      <c r="E118" s="48">
        <v>2</v>
      </c>
      <c r="F118" s="27"/>
    </row>
    <row r="119" spans="1:6" ht="12.75" customHeight="1">
      <c r="A119" s="114" t="s">
        <v>1365</v>
      </c>
      <c r="B119" s="115"/>
      <c r="C119" s="116"/>
      <c r="D119" s="18">
        <v>128870.26</v>
      </c>
      <c r="E119" s="48">
        <v>3</v>
      </c>
      <c r="F119" s="37" t="s">
        <v>1352</v>
      </c>
    </row>
    <row r="120" spans="1:6" ht="12.75" customHeight="1">
      <c r="A120" s="114" t="s">
        <v>2101</v>
      </c>
      <c r="B120" s="115"/>
      <c r="C120" s="116"/>
      <c r="D120" s="19">
        <f>1050082.49+D118</f>
        <v>1982637.3599999999</v>
      </c>
      <c r="E120" s="48">
        <v>4</v>
      </c>
      <c r="F120" s="37" t="s">
        <v>791</v>
      </c>
    </row>
    <row r="121" spans="1:6" ht="13.5" customHeight="1">
      <c r="A121" s="114" t="s">
        <v>2102</v>
      </c>
      <c r="B121" s="115"/>
      <c r="C121" s="116"/>
      <c r="D121" s="19">
        <f>786761.56+D126</f>
        <v>1542543.87</v>
      </c>
      <c r="E121" s="48">
        <v>5</v>
      </c>
      <c r="F121" s="14" t="s">
        <v>843</v>
      </c>
    </row>
    <row r="122" spans="1:6" ht="25.5" customHeight="1">
      <c r="A122" s="120" t="s">
        <v>2103</v>
      </c>
      <c r="B122" s="121"/>
      <c r="C122" s="122"/>
      <c r="D122" s="42">
        <f>948952.81+D117</f>
        <v>1875421.5846296565</v>
      </c>
      <c r="E122" s="48">
        <v>6</v>
      </c>
      <c r="F122" s="14" t="s">
        <v>844</v>
      </c>
    </row>
    <row r="123" spans="1:6" ht="12.75" customHeight="1">
      <c r="A123" s="114" t="s">
        <v>2104</v>
      </c>
      <c r="B123" s="115"/>
      <c r="C123" s="116"/>
      <c r="D123" s="19">
        <f>145034.2+D119</f>
        <v>273904.46</v>
      </c>
      <c r="E123" s="48">
        <v>7</v>
      </c>
      <c r="F123" s="14" t="s">
        <v>845</v>
      </c>
    </row>
    <row r="124" spans="1:6" ht="12.75" customHeight="1">
      <c r="A124" s="114" t="s">
        <v>2105</v>
      </c>
      <c r="B124" s="115"/>
      <c r="C124" s="116"/>
      <c r="D124" s="19">
        <f>108609+D127</f>
        <v>213050.96000000002</v>
      </c>
      <c r="E124" s="48">
        <v>8</v>
      </c>
      <c r="F124" s="14" t="s">
        <v>787</v>
      </c>
    </row>
    <row r="125" spans="1:6" ht="12.75" customHeight="1">
      <c r="A125" s="120" t="s">
        <v>2106</v>
      </c>
      <c r="B125" s="121"/>
      <c r="C125" s="122"/>
      <c r="D125" s="42">
        <f>0+D128</f>
        <v>898883</v>
      </c>
      <c r="E125" s="48">
        <v>9</v>
      </c>
      <c r="F125" s="14" t="s">
        <v>846</v>
      </c>
    </row>
    <row r="126" spans="1:6" ht="12.75" customHeight="1">
      <c r="A126" s="114" t="s">
        <v>779</v>
      </c>
      <c r="B126" s="115"/>
      <c r="C126" s="116"/>
      <c r="D126" s="18">
        <v>755782.31</v>
      </c>
      <c r="E126" s="48">
        <v>10</v>
      </c>
      <c r="F126" s="14" t="s">
        <v>847</v>
      </c>
    </row>
    <row r="127" spans="1:6" ht="12.75" customHeight="1">
      <c r="A127" s="114" t="s">
        <v>780</v>
      </c>
      <c r="B127" s="115"/>
      <c r="C127" s="116"/>
      <c r="D127" s="18">
        <v>104441.96</v>
      </c>
      <c r="E127" s="48">
        <v>11</v>
      </c>
      <c r="F127" s="14" t="s">
        <v>848</v>
      </c>
    </row>
    <row r="128" spans="1:6" ht="12.75" customHeight="1">
      <c r="A128" s="120" t="s">
        <v>781</v>
      </c>
      <c r="B128" s="121"/>
      <c r="C128" s="122"/>
      <c r="D128" s="41">
        <f>D109</f>
        <v>898883</v>
      </c>
      <c r="E128" s="48">
        <v>12</v>
      </c>
      <c r="F128" s="43"/>
    </row>
    <row r="129" spans="1:6" ht="27" customHeight="1">
      <c r="A129" s="108" t="s">
        <v>2107</v>
      </c>
      <c r="B129" s="109"/>
      <c r="C129" s="110"/>
      <c r="D129" s="26">
        <f>D120-D122</f>
        <v>107215.77537034336</v>
      </c>
      <c r="E129" s="48">
        <v>13</v>
      </c>
      <c r="F129" s="43"/>
    </row>
    <row r="130" spans="1:6" ht="25.5" customHeight="1">
      <c r="A130" s="108" t="s">
        <v>2151</v>
      </c>
      <c r="B130" s="109"/>
      <c r="C130" s="110"/>
      <c r="D130" s="26">
        <f>D123-D125</f>
        <v>-624978.54</v>
      </c>
      <c r="E130" s="48">
        <v>14</v>
      </c>
      <c r="F130" s="43"/>
    </row>
    <row r="131" spans="1:6" ht="25.5" customHeight="1">
      <c r="A131" s="108" t="s">
        <v>2152</v>
      </c>
      <c r="B131" s="109"/>
      <c r="C131" s="110"/>
      <c r="D131" s="26">
        <f>D121-D122</f>
        <v>-332877.7146296564</v>
      </c>
      <c r="E131" s="48">
        <v>15</v>
      </c>
      <c r="F131" s="43"/>
    </row>
    <row r="132" ht="12.75">
      <c r="F132" s="43"/>
    </row>
    <row r="135" spans="1:4" ht="13.5" thickBot="1">
      <c r="A135" s="136" t="s">
        <v>2149</v>
      </c>
      <c r="B135" s="136"/>
      <c r="C135" s="136"/>
      <c r="D135" s="136"/>
    </row>
    <row r="136" spans="1:4" ht="24">
      <c r="A136" s="2" t="s">
        <v>1335</v>
      </c>
      <c r="B136" s="3" t="s">
        <v>1336</v>
      </c>
      <c r="C136" s="4" t="s">
        <v>1337</v>
      </c>
      <c r="D136" s="15" t="s">
        <v>1338</v>
      </c>
    </row>
    <row r="137" spans="1:4" ht="12.75">
      <c r="A137" s="123" t="s">
        <v>1339</v>
      </c>
      <c r="B137" s="123"/>
      <c r="C137" s="123"/>
      <c r="D137" s="21">
        <f>D138</f>
        <v>156037</v>
      </c>
    </row>
    <row r="138" spans="1:4" ht="12.75">
      <c r="A138" s="117" t="s">
        <v>1354</v>
      </c>
      <c r="B138" s="118"/>
      <c r="C138" s="119"/>
      <c r="D138" s="28">
        <f>SUM(D139:D139)</f>
        <v>156037</v>
      </c>
    </row>
    <row r="139" spans="1:4" ht="12.75">
      <c r="A139" s="7" t="s">
        <v>2082</v>
      </c>
      <c r="B139" s="29" t="s">
        <v>1952</v>
      </c>
      <c r="C139" s="13" t="s">
        <v>2083</v>
      </c>
      <c r="D139" s="30">
        <v>156037</v>
      </c>
    </row>
    <row r="140" spans="1:4" ht="13.5" thickBot="1">
      <c r="A140" s="124" t="s">
        <v>1343</v>
      </c>
      <c r="B140" s="124"/>
      <c r="C140" s="124"/>
      <c r="D140" s="25">
        <f>D141+D161+D163+D168+D176</f>
        <v>143837.7742396564</v>
      </c>
    </row>
    <row r="141" spans="1:4" ht="13.5" thickTop="1">
      <c r="A141" s="111" t="s">
        <v>1354</v>
      </c>
      <c r="B141" s="112"/>
      <c r="C141" s="113"/>
      <c r="D141" s="28">
        <f>SUM(D142:D160)</f>
        <v>57566.89614881731</v>
      </c>
    </row>
    <row r="142" spans="1:4" ht="12.75">
      <c r="A142" s="7" t="s">
        <v>1058</v>
      </c>
      <c r="B142" s="29" t="s">
        <v>849</v>
      </c>
      <c r="C142" s="7" t="s">
        <v>1059</v>
      </c>
      <c r="D142" s="30">
        <v>1338</v>
      </c>
    </row>
    <row r="143" spans="1:4" ht="12.75">
      <c r="A143" s="7" t="s">
        <v>1062</v>
      </c>
      <c r="B143" s="29" t="s">
        <v>849</v>
      </c>
      <c r="C143" s="7" t="s">
        <v>1063</v>
      </c>
      <c r="D143" s="30">
        <v>1353</v>
      </c>
    </row>
    <row r="144" spans="1:4" ht="12.75">
      <c r="A144" s="7" t="s">
        <v>1103</v>
      </c>
      <c r="B144" s="29" t="s">
        <v>849</v>
      </c>
      <c r="C144" s="7" t="s">
        <v>1915</v>
      </c>
      <c r="D144" s="30">
        <v>2802</v>
      </c>
    </row>
    <row r="145" spans="1:4" ht="12.75">
      <c r="A145" s="50" t="s">
        <v>1135</v>
      </c>
      <c r="B145" s="29" t="s">
        <v>849</v>
      </c>
      <c r="C145" s="7" t="s">
        <v>1914</v>
      </c>
      <c r="D145" s="30">
        <v>1203</v>
      </c>
    </row>
    <row r="146" spans="1:4" ht="12.75">
      <c r="A146" s="7" t="s">
        <v>1911</v>
      </c>
      <c r="B146" s="29" t="s">
        <v>849</v>
      </c>
      <c r="C146" s="7" t="s">
        <v>1914</v>
      </c>
      <c r="D146" s="30">
        <v>802</v>
      </c>
    </row>
    <row r="147" spans="1:4" ht="12.75">
      <c r="A147" s="7" t="s">
        <v>2060</v>
      </c>
      <c r="B147" s="29" t="s">
        <v>1951</v>
      </c>
      <c r="C147" s="7" t="s">
        <v>2061</v>
      </c>
      <c r="D147" s="30">
        <v>189.4</v>
      </c>
    </row>
    <row r="148" spans="1:4" ht="12.75">
      <c r="A148" s="7" t="s">
        <v>2067</v>
      </c>
      <c r="B148" s="29" t="s">
        <v>1951</v>
      </c>
      <c r="C148" s="7" t="s">
        <v>2068</v>
      </c>
      <c r="D148" s="30">
        <v>17128</v>
      </c>
    </row>
    <row r="149" spans="1:4" ht="12.75">
      <c r="A149" s="50" t="s">
        <v>2076</v>
      </c>
      <c r="B149" s="29" t="s">
        <v>1952</v>
      </c>
      <c r="C149" s="7" t="s">
        <v>2077</v>
      </c>
      <c r="D149" s="30">
        <v>9232</v>
      </c>
    </row>
    <row r="150" spans="1:4" ht="12.75">
      <c r="A150" s="7" t="s">
        <v>2078</v>
      </c>
      <c r="B150" s="29" t="s">
        <v>1952</v>
      </c>
      <c r="C150" s="7" t="s">
        <v>2079</v>
      </c>
      <c r="D150" s="30">
        <v>2281</v>
      </c>
    </row>
    <row r="151" spans="1:4" ht="12.75">
      <c r="A151" s="7" t="s">
        <v>2080</v>
      </c>
      <c r="B151" s="29" t="s">
        <v>1952</v>
      </c>
      <c r="C151" s="7" t="s">
        <v>2081</v>
      </c>
      <c r="D151" s="30">
        <f>7541/7430*1174</f>
        <v>1191.5388963660832</v>
      </c>
    </row>
    <row r="152" spans="1:4" ht="12.75">
      <c r="A152" s="7" t="s">
        <v>2084</v>
      </c>
      <c r="B152" s="29" t="s">
        <v>1952</v>
      </c>
      <c r="C152" s="7" t="s">
        <v>2085</v>
      </c>
      <c r="D152" s="30">
        <f>3882/3789*924</f>
        <v>946.6793349168646</v>
      </c>
    </row>
    <row r="153" spans="1:4" ht="12.75">
      <c r="A153" s="8" t="s">
        <v>2086</v>
      </c>
      <c r="B153" s="29" t="s">
        <v>1952</v>
      </c>
      <c r="C153" s="7" t="s">
        <v>2087</v>
      </c>
      <c r="D153" s="31">
        <v>2255</v>
      </c>
    </row>
    <row r="154" spans="1:4" ht="12.75">
      <c r="A154" s="8" t="s">
        <v>2088</v>
      </c>
      <c r="B154" s="29" t="s">
        <v>1952</v>
      </c>
      <c r="C154" s="7" t="s">
        <v>2089</v>
      </c>
      <c r="D154" s="31">
        <f>4876/4802*519</f>
        <v>526.9979175343607</v>
      </c>
    </row>
    <row r="155" spans="1:4" ht="12.75">
      <c r="A155" s="8" t="s">
        <v>2090</v>
      </c>
      <c r="B155" s="29" t="s">
        <v>1952</v>
      </c>
      <c r="C155" s="7" t="s">
        <v>2091</v>
      </c>
      <c r="D155" s="31">
        <v>7029</v>
      </c>
    </row>
    <row r="156" spans="1:4" ht="12.75">
      <c r="A156" s="8" t="s">
        <v>2112</v>
      </c>
      <c r="B156" s="29" t="s">
        <v>1952</v>
      </c>
      <c r="C156" s="7" t="s">
        <v>2113</v>
      </c>
      <c r="D156" s="31">
        <v>22.88</v>
      </c>
    </row>
    <row r="157" spans="1:4" ht="12.75">
      <c r="A157" s="8" t="s">
        <v>2092</v>
      </c>
      <c r="B157" s="29" t="s">
        <v>1953</v>
      </c>
      <c r="C157" s="7" t="s">
        <v>2093</v>
      </c>
      <c r="D157" s="31">
        <v>1237</v>
      </c>
    </row>
    <row r="158" spans="1:4" ht="12.75">
      <c r="A158" s="8" t="s">
        <v>2097</v>
      </c>
      <c r="B158" s="29" t="s">
        <v>1953</v>
      </c>
      <c r="C158" s="7" t="s">
        <v>2098</v>
      </c>
      <c r="D158" s="31">
        <v>1841</v>
      </c>
    </row>
    <row r="159" spans="1:4" ht="12.75">
      <c r="A159" s="8" t="s">
        <v>2099</v>
      </c>
      <c r="B159" s="29" t="s">
        <v>1953</v>
      </c>
      <c r="C159" s="7" t="s">
        <v>2100</v>
      </c>
      <c r="D159" s="31">
        <v>5999</v>
      </c>
    </row>
    <row r="160" spans="1:4" ht="12.75">
      <c r="A160" s="8" t="s">
        <v>2118</v>
      </c>
      <c r="B160" s="29"/>
      <c r="C160" s="7" t="s">
        <v>2119</v>
      </c>
      <c r="D160" s="31">
        <v>189.4</v>
      </c>
    </row>
    <row r="161" spans="1:4" ht="12.75">
      <c r="A161" s="117" t="s">
        <v>1342</v>
      </c>
      <c r="B161" s="118"/>
      <c r="C161" s="119"/>
      <c r="D161" s="28">
        <f>SUM(D162:D162)</f>
        <v>18017</v>
      </c>
    </row>
    <row r="162" spans="1:4" ht="12.75">
      <c r="A162" s="7" t="s">
        <v>2074</v>
      </c>
      <c r="B162" s="29" t="s">
        <v>2070</v>
      </c>
      <c r="C162" s="7" t="s">
        <v>2075</v>
      </c>
      <c r="D162" s="30">
        <v>18017</v>
      </c>
    </row>
    <row r="163" spans="1:4" ht="12.75">
      <c r="A163" s="117" t="s">
        <v>1344</v>
      </c>
      <c r="B163" s="118"/>
      <c r="C163" s="119"/>
      <c r="D163" s="28">
        <f>SUM(D164:D167)</f>
        <v>55192.06999999999</v>
      </c>
    </row>
    <row r="164" spans="1:4" ht="12.75">
      <c r="A164" s="7"/>
      <c r="B164" s="29" t="s">
        <v>849</v>
      </c>
      <c r="C164" s="7" t="s">
        <v>1967</v>
      </c>
      <c r="D164" s="30">
        <f>2900.08+2694.66+1601.17+3788.14+1640.23+1015.38</f>
        <v>13639.659999999998</v>
      </c>
    </row>
    <row r="165" spans="1:4" ht="12.75">
      <c r="A165" s="7"/>
      <c r="B165" s="29" t="s">
        <v>1951</v>
      </c>
      <c r="C165" s="7" t="s">
        <v>1967</v>
      </c>
      <c r="D165" s="30">
        <f>3085.19+2694.66+1601.17+3788.14+1640.23+1015.38</f>
        <v>13824.769999999999</v>
      </c>
    </row>
    <row r="166" spans="1:4" ht="12.75">
      <c r="A166" s="7"/>
      <c r="B166" s="29" t="s">
        <v>1952</v>
      </c>
      <c r="C166" s="7" t="s">
        <v>1967</v>
      </c>
      <c r="D166" s="30">
        <f>3085.19+2694.66+1601.17+3788.14+1640.23+1015.38+234.32</f>
        <v>14059.089999999998</v>
      </c>
    </row>
    <row r="167" spans="1:4" ht="12.75">
      <c r="A167" s="7"/>
      <c r="B167" s="29" t="s">
        <v>1953</v>
      </c>
      <c r="C167" s="7" t="s">
        <v>1967</v>
      </c>
      <c r="D167" s="30">
        <f>3085.19+2382.23+5389.31+1562.12+1015.38+234.32</f>
        <v>13668.549999999997</v>
      </c>
    </row>
    <row r="168" spans="1:4" ht="12.75">
      <c r="A168" s="117" t="s">
        <v>1346</v>
      </c>
      <c r="B168" s="118"/>
      <c r="C168" s="119"/>
      <c r="D168" s="28">
        <f>SUM(D169:D175)</f>
        <v>6708.956666666667</v>
      </c>
    </row>
    <row r="169" spans="1:4" ht="12.75">
      <c r="A169" s="7" t="s">
        <v>1711</v>
      </c>
      <c r="B169" s="29" t="s">
        <v>849</v>
      </c>
      <c r="C169" s="7" t="s">
        <v>1712</v>
      </c>
      <c r="D169" s="30">
        <v>761</v>
      </c>
    </row>
    <row r="170" spans="1:256" ht="15" customHeight="1">
      <c r="A170" s="7" t="s">
        <v>2191</v>
      </c>
      <c r="B170" s="29" t="s">
        <v>849</v>
      </c>
      <c r="C170" s="7" t="s">
        <v>2192</v>
      </c>
      <c r="D170" s="30">
        <v>679.25</v>
      </c>
      <c r="E170" s="7" t="s">
        <v>2191</v>
      </c>
      <c r="F170" s="29" t="s">
        <v>849</v>
      </c>
      <c r="G170" s="7" t="s">
        <v>2192</v>
      </c>
      <c r="H170" s="30">
        <v>679.25</v>
      </c>
      <c r="I170" s="7" t="s">
        <v>2191</v>
      </c>
      <c r="J170" s="29" t="s">
        <v>849</v>
      </c>
      <c r="K170" s="7" t="s">
        <v>2192</v>
      </c>
      <c r="L170" s="30">
        <v>679.25</v>
      </c>
      <c r="M170" s="7" t="s">
        <v>2191</v>
      </c>
      <c r="N170" s="29" t="s">
        <v>849</v>
      </c>
      <c r="O170" s="7" t="s">
        <v>2192</v>
      </c>
      <c r="P170" s="30">
        <v>679.25</v>
      </c>
      <c r="Q170" s="7" t="s">
        <v>2191</v>
      </c>
      <c r="R170" s="29" t="s">
        <v>849</v>
      </c>
      <c r="S170" s="7" t="s">
        <v>2192</v>
      </c>
      <c r="T170" s="30">
        <v>679.25</v>
      </c>
      <c r="U170" s="7" t="s">
        <v>2191</v>
      </c>
      <c r="V170" s="29" t="s">
        <v>849</v>
      </c>
      <c r="W170" s="7" t="s">
        <v>2192</v>
      </c>
      <c r="X170" s="30">
        <v>679.25</v>
      </c>
      <c r="Y170" s="7" t="s">
        <v>2191</v>
      </c>
      <c r="Z170" s="29" t="s">
        <v>849</v>
      </c>
      <c r="AA170" s="7" t="s">
        <v>2192</v>
      </c>
      <c r="AB170" s="30">
        <v>679.25</v>
      </c>
      <c r="AC170" s="7" t="s">
        <v>2191</v>
      </c>
      <c r="AD170" s="29" t="s">
        <v>849</v>
      </c>
      <c r="AE170" s="7" t="s">
        <v>2192</v>
      </c>
      <c r="AF170" s="30">
        <v>679.25</v>
      </c>
      <c r="AG170" s="7" t="s">
        <v>2191</v>
      </c>
      <c r="AH170" s="29" t="s">
        <v>849</v>
      </c>
      <c r="AI170" s="7" t="s">
        <v>2192</v>
      </c>
      <c r="AJ170" s="30">
        <v>679.25</v>
      </c>
      <c r="AK170" s="7" t="s">
        <v>2191</v>
      </c>
      <c r="AL170" s="29" t="s">
        <v>849</v>
      </c>
      <c r="AM170" s="7" t="s">
        <v>2192</v>
      </c>
      <c r="AN170" s="30">
        <v>679.25</v>
      </c>
      <c r="AO170" s="7" t="s">
        <v>2191</v>
      </c>
      <c r="AP170" s="29" t="s">
        <v>849</v>
      </c>
      <c r="AQ170" s="7" t="s">
        <v>2192</v>
      </c>
      <c r="AR170" s="30">
        <v>679.25</v>
      </c>
      <c r="AS170" s="7" t="s">
        <v>2191</v>
      </c>
      <c r="AT170" s="29" t="s">
        <v>849</v>
      </c>
      <c r="AU170" s="7" t="s">
        <v>2192</v>
      </c>
      <c r="AV170" s="30">
        <v>679.25</v>
      </c>
      <c r="AW170" s="7" t="s">
        <v>2191</v>
      </c>
      <c r="AX170" s="29" t="s">
        <v>849</v>
      </c>
      <c r="AY170" s="7" t="s">
        <v>2192</v>
      </c>
      <c r="AZ170" s="30">
        <v>679.25</v>
      </c>
      <c r="BA170" s="7" t="s">
        <v>2191</v>
      </c>
      <c r="BB170" s="29" t="s">
        <v>849</v>
      </c>
      <c r="BC170" s="7" t="s">
        <v>2192</v>
      </c>
      <c r="BD170" s="30">
        <v>679.25</v>
      </c>
      <c r="BE170" s="7" t="s">
        <v>2191</v>
      </c>
      <c r="BF170" s="29" t="s">
        <v>849</v>
      </c>
      <c r="BG170" s="7" t="s">
        <v>2192</v>
      </c>
      <c r="BH170" s="30">
        <v>679.25</v>
      </c>
      <c r="BI170" s="7" t="s">
        <v>2191</v>
      </c>
      <c r="BJ170" s="29" t="s">
        <v>849</v>
      </c>
      <c r="BK170" s="7" t="s">
        <v>2192</v>
      </c>
      <c r="BL170" s="30">
        <v>679.25</v>
      </c>
      <c r="BM170" s="7" t="s">
        <v>2191</v>
      </c>
      <c r="BN170" s="29" t="s">
        <v>849</v>
      </c>
      <c r="BO170" s="7" t="s">
        <v>2192</v>
      </c>
      <c r="BP170" s="30">
        <v>679.25</v>
      </c>
      <c r="BQ170" s="7" t="s">
        <v>2191</v>
      </c>
      <c r="BR170" s="29" t="s">
        <v>849</v>
      </c>
      <c r="BS170" s="7" t="s">
        <v>2192</v>
      </c>
      <c r="BT170" s="30">
        <v>679.25</v>
      </c>
      <c r="BU170" s="7" t="s">
        <v>2191</v>
      </c>
      <c r="BV170" s="29" t="s">
        <v>849</v>
      </c>
      <c r="BW170" s="7" t="s">
        <v>2192</v>
      </c>
      <c r="BX170" s="30">
        <v>679.25</v>
      </c>
      <c r="BY170" s="7" t="s">
        <v>2191</v>
      </c>
      <c r="BZ170" s="29" t="s">
        <v>849</v>
      </c>
      <c r="CA170" s="7" t="s">
        <v>2192</v>
      </c>
      <c r="CB170" s="30">
        <v>679.25</v>
      </c>
      <c r="CC170" s="7" t="s">
        <v>2191</v>
      </c>
      <c r="CD170" s="29" t="s">
        <v>849</v>
      </c>
      <c r="CE170" s="7" t="s">
        <v>2192</v>
      </c>
      <c r="CF170" s="30">
        <v>679.25</v>
      </c>
      <c r="CG170" s="7" t="s">
        <v>2191</v>
      </c>
      <c r="CH170" s="29" t="s">
        <v>849</v>
      </c>
      <c r="CI170" s="7" t="s">
        <v>2192</v>
      </c>
      <c r="CJ170" s="30">
        <v>679.25</v>
      </c>
      <c r="CK170" s="7" t="s">
        <v>2191</v>
      </c>
      <c r="CL170" s="29" t="s">
        <v>849</v>
      </c>
      <c r="CM170" s="7" t="s">
        <v>2192</v>
      </c>
      <c r="CN170" s="30">
        <v>679.25</v>
      </c>
      <c r="CO170" s="7" t="s">
        <v>2191</v>
      </c>
      <c r="CP170" s="29" t="s">
        <v>849</v>
      </c>
      <c r="CQ170" s="7" t="s">
        <v>2192</v>
      </c>
      <c r="CR170" s="30">
        <v>679.25</v>
      </c>
      <c r="CS170" s="7" t="s">
        <v>2191</v>
      </c>
      <c r="CT170" s="29" t="s">
        <v>849</v>
      </c>
      <c r="CU170" s="7" t="s">
        <v>2192</v>
      </c>
      <c r="CV170" s="30">
        <v>679.25</v>
      </c>
      <c r="CW170" s="7" t="s">
        <v>2191</v>
      </c>
      <c r="CX170" s="29" t="s">
        <v>849</v>
      </c>
      <c r="CY170" s="7" t="s">
        <v>2192</v>
      </c>
      <c r="CZ170" s="30">
        <v>679.25</v>
      </c>
      <c r="DA170" s="7" t="s">
        <v>2191</v>
      </c>
      <c r="DB170" s="29" t="s">
        <v>849</v>
      </c>
      <c r="DC170" s="7" t="s">
        <v>2192</v>
      </c>
      <c r="DD170" s="30">
        <v>679.25</v>
      </c>
      <c r="DE170" s="7" t="s">
        <v>2191</v>
      </c>
      <c r="DF170" s="29" t="s">
        <v>849</v>
      </c>
      <c r="DG170" s="7" t="s">
        <v>2192</v>
      </c>
      <c r="DH170" s="30">
        <v>679.25</v>
      </c>
      <c r="DI170" s="7" t="s">
        <v>2191</v>
      </c>
      <c r="DJ170" s="29" t="s">
        <v>849</v>
      </c>
      <c r="DK170" s="7" t="s">
        <v>2192</v>
      </c>
      <c r="DL170" s="30">
        <v>679.25</v>
      </c>
      <c r="DM170" s="7" t="s">
        <v>2191</v>
      </c>
      <c r="DN170" s="29" t="s">
        <v>849</v>
      </c>
      <c r="DO170" s="7" t="s">
        <v>2192</v>
      </c>
      <c r="DP170" s="30">
        <v>679.25</v>
      </c>
      <c r="DQ170" s="7" t="s">
        <v>2191</v>
      </c>
      <c r="DR170" s="29" t="s">
        <v>849</v>
      </c>
      <c r="DS170" s="7" t="s">
        <v>2192</v>
      </c>
      <c r="DT170" s="30">
        <v>679.25</v>
      </c>
      <c r="DU170" s="7" t="s">
        <v>2191</v>
      </c>
      <c r="DV170" s="29" t="s">
        <v>849</v>
      </c>
      <c r="DW170" s="7" t="s">
        <v>2192</v>
      </c>
      <c r="DX170" s="30">
        <v>679.25</v>
      </c>
      <c r="DY170" s="7" t="s">
        <v>2191</v>
      </c>
      <c r="DZ170" s="29" t="s">
        <v>849</v>
      </c>
      <c r="EA170" s="7" t="s">
        <v>2192</v>
      </c>
      <c r="EB170" s="30">
        <v>679.25</v>
      </c>
      <c r="EC170" s="7" t="s">
        <v>2191</v>
      </c>
      <c r="ED170" s="29" t="s">
        <v>849</v>
      </c>
      <c r="EE170" s="7" t="s">
        <v>2192</v>
      </c>
      <c r="EF170" s="30">
        <v>679.25</v>
      </c>
      <c r="EG170" s="7" t="s">
        <v>2191</v>
      </c>
      <c r="EH170" s="29" t="s">
        <v>849</v>
      </c>
      <c r="EI170" s="7" t="s">
        <v>2192</v>
      </c>
      <c r="EJ170" s="30">
        <v>679.25</v>
      </c>
      <c r="EK170" s="7" t="s">
        <v>2191</v>
      </c>
      <c r="EL170" s="29" t="s">
        <v>849</v>
      </c>
      <c r="EM170" s="7" t="s">
        <v>2192</v>
      </c>
      <c r="EN170" s="30">
        <v>679.25</v>
      </c>
      <c r="EO170" s="7" t="s">
        <v>2191</v>
      </c>
      <c r="EP170" s="29" t="s">
        <v>849</v>
      </c>
      <c r="EQ170" s="7" t="s">
        <v>2192</v>
      </c>
      <c r="ER170" s="30">
        <v>679.25</v>
      </c>
      <c r="ES170" s="7" t="s">
        <v>2191</v>
      </c>
      <c r="ET170" s="29" t="s">
        <v>849</v>
      </c>
      <c r="EU170" s="7" t="s">
        <v>2192</v>
      </c>
      <c r="EV170" s="30">
        <v>679.25</v>
      </c>
      <c r="EW170" s="7" t="s">
        <v>2191</v>
      </c>
      <c r="EX170" s="29" t="s">
        <v>849</v>
      </c>
      <c r="EY170" s="7" t="s">
        <v>2192</v>
      </c>
      <c r="EZ170" s="30">
        <v>679.25</v>
      </c>
      <c r="FA170" s="7" t="s">
        <v>2191</v>
      </c>
      <c r="FB170" s="29" t="s">
        <v>849</v>
      </c>
      <c r="FC170" s="7" t="s">
        <v>2192</v>
      </c>
      <c r="FD170" s="30">
        <v>679.25</v>
      </c>
      <c r="FE170" s="7" t="s">
        <v>2191</v>
      </c>
      <c r="FF170" s="29" t="s">
        <v>849</v>
      </c>
      <c r="FG170" s="7" t="s">
        <v>2192</v>
      </c>
      <c r="FH170" s="30">
        <v>679.25</v>
      </c>
      <c r="FI170" s="7" t="s">
        <v>2191</v>
      </c>
      <c r="FJ170" s="29" t="s">
        <v>849</v>
      </c>
      <c r="FK170" s="7" t="s">
        <v>2192</v>
      </c>
      <c r="FL170" s="30">
        <v>679.25</v>
      </c>
      <c r="FM170" s="7" t="s">
        <v>2191</v>
      </c>
      <c r="FN170" s="29" t="s">
        <v>849</v>
      </c>
      <c r="FO170" s="7" t="s">
        <v>2192</v>
      </c>
      <c r="FP170" s="30">
        <v>679.25</v>
      </c>
      <c r="FQ170" s="7" t="s">
        <v>2191</v>
      </c>
      <c r="FR170" s="29" t="s">
        <v>849</v>
      </c>
      <c r="FS170" s="7" t="s">
        <v>2192</v>
      </c>
      <c r="FT170" s="30">
        <v>679.25</v>
      </c>
      <c r="FU170" s="7" t="s">
        <v>2191</v>
      </c>
      <c r="FV170" s="29" t="s">
        <v>849</v>
      </c>
      <c r="FW170" s="7" t="s">
        <v>2192</v>
      </c>
      <c r="FX170" s="30">
        <v>679.25</v>
      </c>
      <c r="FY170" s="7" t="s">
        <v>2191</v>
      </c>
      <c r="FZ170" s="29" t="s">
        <v>849</v>
      </c>
      <c r="GA170" s="7" t="s">
        <v>2192</v>
      </c>
      <c r="GB170" s="30">
        <v>679.25</v>
      </c>
      <c r="GC170" s="7" t="s">
        <v>2191</v>
      </c>
      <c r="GD170" s="29" t="s">
        <v>849</v>
      </c>
      <c r="GE170" s="7" t="s">
        <v>2192</v>
      </c>
      <c r="GF170" s="30">
        <v>679.25</v>
      </c>
      <c r="GG170" s="7" t="s">
        <v>2191</v>
      </c>
      <c r="GH170" s="29" t="s">
        <v>849</v>
      </c>
      <c r="GI170" s="7" t="s">
        <v>2192</v>
      </c>
      <c r="GJ170" s="30">
        <v>679.25</v>
      </c>
      <c r="GK170" s="7" t="s">
        <v>2191</v>
      </c>
      <c r="GL170" s="29" t="s">
        <v>849</v>
      </c>
      <c r="GM170" s="7" t="s">
        <v>2192</v>
      </c>
      <c r="GN170" s="30">
        <v>679.25</v>
      </c>
      <c r="GO170" s="7" t="s">
        <v>2191</v>
      </c>
      <c r="GP170" s="29" t="s">
        <v>849</v>
      </c>
      <c r="GQ170" s="7" t="s">
        <v>2192</v>
      </c>
      <c r="GR170" s="30">
        <v>679.25</v>
      </c>
      <c r="GS170" s="7" t="s">
        <v>2191</v>
      </c>
      <c r="GT170" s="29" t="s">
        <v>849</v>
      </c>
      <c r="GU170" s="7" t="s">
        <v>2192</v>
      </c>
      <c r="GV170" s="30">
        <v>679.25</v>
      </c>
      <c r="GW170" s="7" t="s">
        <v>2191</v>
      </c>
      <c r="GX170" s="29" t="s">
        <v>849</v>
      </c>
      <c r="GY170" s="7" t="s">
        <v>2192</v>
      </c>
      <c r="GZ170" s="30">
        <v>679.25</v>
      </c>
      <c r="HA170" s="7" t="s">
        <v>2191</v>
      </c>
      <c r="HB170" s="29" t="s">
        <v>849</v>
      </c>
      <c r="HC170" s="7" t="s">
        <v>2192</v>
      </c>
      <c r="HD170" s="30">
        <v>679.25</v>
      </c>
      <c r="HE170" s="7" t="s">
        <v>2191</v>
      </c>
      <c r="HF170" s="29" t="s">
        <v>849</v>
      </c>
      <c r="HG170" s="7" t="s">
        <v>2192</v>
      </c>
      <c r="HH170" s="30">
        <v>679.25</v>
      </c>
      <c r="HI170" s="7" t="s">
        <v>2191</v>
      </c>
      <c r="HJ170" s="29" t="s">
        <v>849</v>
      </c>
      <c r="HK170" s="7" t="s">
        <v>2192</v>
      </c>
      <c r="HL170" s="30">
        <v>679.25</v>
      </c>
      <c r="HM170" s="7" t="s">
        <v>2191</v>
      </c>
      <c r="HN170" s="29" t="s">
        <v>849</v>
      </c>
      <c r="HO170" s="7" t="s">
        <v>2192</v>
      </c>
      <c r="HP170" s="30">
        <v>679.25</v>
      </c>
      <c r="HQ170" s="7" t="s">
        <v>2191</v>
      </c>
      <c r="HR170" s="29" t="s">
        <v>849</v>
      </c>
      <c r="HS170" s="7" t="s">
        <v>2192</v>
      </c>
      <c r="HT170" s="30">
        <v>679.25</v>
      </c>
      <c r="HU170" s="7" t="s">
        <v>2191</v>
      </c>
      <c r="HV170" s="29" t="s">
        <v>849</v>
      </c>
      <c r="HW170" s="7" t="s">
        <v>2192</v>
      </c>
      <c r="HX170" s="30">
        <v>679.25</v>
      </c>
      <c r="HY170" s="7" t="s">
        <v>2191</v>
      </c>
      <c r="HZ170" s="29" t="s">
        <v>849</v>
      </c>
      <c r="IA170" s="7" t="s">
        <v>2192</v>
      </c>
      <c r="IB170" s="30">
        <v>679.25</v>
      </c>
      <c r="IC170" s="7" t="s">
        <v>2191</v>
      </c>
      <c r="ID170" s="29" t="s">
        <v>849</v>
      </c>
      <c r="IE170" s="7" t="s">
        <v>2192</v>
      </c>
      <c r="IF170" s="30">
        <v>679.25</v>
      </c>
      <c r="IG170" s="7" t="s">
        <v>2191</v>
      </c>
      <c r="IH170" s="29" t="s">
        <v>849</v>
      </c>
      <c r="II170" s="7" t="s">
        <v>2192</v>
      </c>
      <c r="IJ170" s="30">
        <v>679.25</v>
      </c>
      <c r="IK170" s="7" t="s">
        <v>2191</v>
      </c>
      <c r="IL170" s="29" t="s">
        <v>849</v>
      </c>
      <c r="IM170" s="7" t="s">
        <v>2192</v>
      </c>
      <c r="IN170" s="30">
        <v>679.25</v>
      </c>
      <c r="IO170" s="7" t="s">
        <v>2191</v>
      </c>
      <c r="IP170" s="29" t="s">
        <v>849</v>
      </c>
      <c r="IQ170" s="7" t="s">
        <v>2192</v>
      </c>
      <c r="IR170" s="30">
        <v>679.25</v>
      </c>
      <c r="IS170" s="7" t="s">
        <v>2191</v>
      </c>
      <c r="IT170" s="29" t="s">
        <v>849</v>
      </c>
      <c r="IU170" s="7" t="s">
        <v>2192</v>
      </c>
      <c r="IV170" s="30">
        <v>679.25</v>
      </c>
    </row>
    <row r="171" spans="1:4" ht="12.75">
      <c r="A171" s="7" t="s">
        <v>2065</v>
      </c>
      <c r="B171" s="29" t="s">
        <v>1951</v>
      </c>
      <c r="C171" s="7" t="s">
        <v>1712</v>
      </c>
      <c r="D171" s="30">
        <f>(3600+351+2800)/6</f>
        <v>1125.1666666666667</v>
      </c>
    </row>
    <row r="172" spans="1:4" ht="12.75">
      <c r="A172" s="7" t="s">
        <v>2066</v>
      </c>
      <c r="B172" s="29" t="s">
        <v>1951</v>
      </c>
      <c r="C172" s="7" t="s">
        <v>1712</v>
      </c>
      <c r="D172" s="30">
        <f>(1800+175+1400)/6</f>
        <v>562.5</v>
      </c>
    </row>
    <row r="173" spans="1:4" ht="12.75">
      <c r="A173" s="7" t="s">
        <v>2110</v>
      </c>
      <c r="B173" s="29" t="s">
        <v>1952</v>
      </c>
      <c r="C173" s="7" t="s">
        <v>2111</v>
      </c>
      <c r="D173" s="30">
        <v>365.04</v>
      </c>
    </row>
    <row r="174" spans="1:4" ht="12.75">
      <c r="A174" s="7" t="s">
        <v>2114</v>
      </c>
      <c r="B174" s="29" t="s">
        <v>1953</v>
      </c>
      <c r="C174" s="7" t="s">
        <v>2115</v>
      </c>
      <c r="D174" s="30">
        <f>6000/4</f>
        <v>1500</v>
      </c>
    </row>
    <row r="175" spans="1:4" ht="12.75">
      <c r="A175" s="7" t="s">
        <v>2116</v>
      </c>
      <c r="B175" s="29"/>
      <c r="C175" s="7" t="s">
        <v>2117</v>
      </c>
      <c r="D175" s="30">
        <v>1716</v>
      </c>
    </row>
    <row r="176" spans="1:4" ht="12.75">
      <c r="A176" s="117" t="s">
        <v>1341</v>
      </c>
      <c r="B176" s="118"/>
      <c r="C176" s="119"/>
      <c r="D176" s="28">
        <f>SUM(D177:D180)</f>
        <v>6352.851424172441</v>
      </c>
    </row>
    <row r="177" spans="1:4" ht="12.75">
      <c r="A177" s="7" t="s">
        <v>2062</v>
      </c>
      <c r="B177" s="29" t="s">
        <v>2063</v>
      </c>
      <c r="C177" s="7" t="s">
        <v>2064</v>
      </c>
      <c r="D177" s="30">
        <v>3840</v>
      </c>
    </row>
    <row r="178" spans="1:4" ht="25.5">
      <c r="A178" s="7" t="s">
        <v>2069</v>
      </c>
      <c r="B178" s="29" t="s">
        <v>2070</v>
      </c>
      <c r="C178" s="7" t="s">
        <v>2071</v>
      </c>
      <c r="D178" s="30">
        <v>1166</v>
      </c>
    </row>
    <row r="179" spans="1:4" ht="12.75">
      <c r="A179" s="50" t="s">
        <v>2073</v>
      </c>
      <c r="B179" s="29" t="s">
        <v>2070</v>
      </c>
      <c r="C179" s="7" t="s">
        <v>2072</v>
      </c>
      <c r="D179" s="30">
        <f>1420/1299*299</f>
        <v>326.8514241724403</v>
      </c>
    </row>
    <row r="180" spans="1:4" ht="12.75">
      <c r="A180" s="7" t="s">
        <v>2094</v>
      </c>
      <c r="B180" s="29" t="s">
        <v>2095</v>
      </c>
      <c r="C180" s="7" t="s">
        <v>2096</v>
      </c>
      <c r="D180" s="30">
        <v>1020</v>
      </c>
    </row>
    <row r="181" spans="1:4" ht="13.5" thickBot="1">
      <c r="A181" s="12"/>
      <c r="B181" s="33"/>
      <c r="C181" s="34"/>
      <c r="D181" s="35"/>
    </row>
    <row r="182" spans="1:4" ht="12.75">
      <c r="A182" s="129" t="s">
        <v>1349</v>
      </c>
      <c r="B182" s="130"/>
      <c r="C182" s="131"/>
      <c r="D182" s="32">
        <f>SUM(D183:D183)</f>
        <v>883283</v>
      </c>
    </row>
    <row r="183" spans="1:4" ht="12.75">
      <c r="A183" s="13" t="s">
        <v>2108</v>
      </c>
      <c r="B183" s="29" t="s">
        <v>1953</v>
      </c>
      <c r="C183" s="13" t="s">
        <v>2109</v>
      </c>
      <c r="D183" s="36">
        <v>883283</v>
      </c>
    </row>
    <row r="184" spans="1:4" ht="12.75">
      <c r="A184" s="6">
        <v>3905.3</v>
      </c>
      <c r="B184" s="6" t="s">
        <v>1356</v>
      </c>
      <c r="C184" s="37" t="s">
        <v>1345</v>
      </c>
      <c r="D184" s="23">
        <f>3905.3*1.46*4</f>
        <v>22806.952</v>
      </c>
    </row>
    <row r="185" spans="1:4" ht="12.75">
      <c r="A185" s="6">
        <v>3905.3</v>
      </c>
      <c r="B185" s="6" t="s">
        <v>1356</v>
      </c>
      <c r="C185" s="37" t="s">
        <v>1357</v>
      </c>
      <c r="D185" s="23">
        <f>3905.3*0.1*4</f>
        <v>1562.1200000000001</v>
      </c>
    </row>
    <row r="186" spans="1:4" ht="12.75">
      <c r="A186" s="6"/>
      <c r="B186" s="6" t="s">
        <v>1356</v>
      </c>
      <c r="C186" s="37" t="s">
        <v>1358</v>
      </c>
      <c r="D186" s="23"/>
    </row>
    <row r="187" spans="1:4" ht="12.75">
      <c r="A187" s="6"/>
      <c r="B187" s="6" t="s">
        <v>1356</v>
      </c>
      <c r="C187" s="37" t="s">
        <v>1359</v>
      </c>
      <c r="D187" s="23"/>
    </row>
    <row r="188" spans="1:4" ht="13.5" thickBot="1">
      <c r="A188" s="38"/>
      <c r="B188" s="38"/>
      <c r="C188" s="39" t="s">
        <v>1360</v>
      </c>
      <c r="D188" s="40">
        <f>D185+D184+D140+D137</f>
        <v>324243.8462396564</v>
      </c>
    </row>
    <row r="189" spans="1:4" ht="13.5" thickTop="1">
      <c r="A189" s="132" t="s">
        <v>1361</v>
      </c>
      <c r="B189" s="133"/>
      <c r="C189" s="134"/>
      <c r="D189" s="17">
        <f>3905.3*0.94*4</f>
        <v>14683.928</v>
      </c>
    </row>
    <row r="190" spans="1:4" ht="12.75">
      <c r="A190" s="125" t="s">
        <v>1350</v>
      </c>
      <c r="B190" s="126"/>
      <c r="C190" s="127"/>
      <c r="D190" s="16">
        <f>3905.3*1.57*4</f>
        <v>24525.284000000003</v>
      </c>
    </row>
    <row r="191" spans="1:4" ht="12.75">
      <c r="A191" s="125" t="s">
        <v>1362</v>
      </c>
      <c r="B191" s="126"/>
      <c r="C191" s="127"/>
      <c r="D191" s="16">
        <f>(D193+D194)/100*10.3</f>
        <v>34512.81564</v>
      </c>
    </row>
    <row r="192" spans="1:4" ht="12.75">
      <c r="A192" s="120" t="s">
        <v>1363</v>
      </c>
      <c r="B192" s="121"/>
      <c r="C192" s="122"/>
      <c r="D192" s="41">
        <f>D188+D189+D190+D191</f>
        <v>397965.87387965637</v>
      </c>
    </row>
    <row r="193" spans="1:4" ht="12.75">
      <c r="A193" s="114" t="s">
        <v>1364</v>
      </c>
      <c r="B193" s="115"/>
      <c r="C193" s="116"/>
      <c r="D193" s="18">
        <v>294460.76</v>
      </c>
    </row>
    <row r="194" spans="1:4" ht="12.75">
      <c r="A194" s="114" t="s">
        <v>1365</v>
      </c>
      <c r="B194" s="115"/>
      <c r="C194" s="116"/>
      <c r="D194" s="18">
        <v>40615.12</v>
      </c>
    </row>
    <row r="195" spans="1:4" ht="12.75">
      <c r="A195" s="114" t="s">
        <v>2101</v>
      </c>
      <c r="B195" s="115"/>
      <c r="C195" s="116"/>
      <c r="D195" s="19">
        <v>1344543.25</v>
      </c>
    </row>
    <row r="196" spans="1:4" ht="12.75">
      <c r="A196" s="114" t="s">
        <v>2102</v>
      </c>
      <c r="B196" s="115"/>
      <c r="C196" s="116"/>
      <c r="D196" s="19">
        <v>1044783.09</v>
      </c>
    </row>
    <row r="197" spans="1:4" ht="12.75">
      <c r="A197" s="120" t="s">
        <v>2103</v>
      </c>
      <c r="B197" s="121"/>
      <c r="C197" s="122"/>
      <c r="D197" s="42">
        <f>948952.81+D192</f>
        <v>1346918.6838796565</v>
      </c>
    </row>
    <row r="198" spans="1:4" ht="12.75">
      <c r="A198" s="114" t="s">
        <v>2104</v>
      </c>
      <c r="B198" s="115"/>
      <c r="C198" s="116"/>
      <c r="D198" s="19">
        <v>185649.33</v>
      </c>
    </row>
    <row r="199" spans="1:4" ht="12.75">
      <c r="A199" s="114" t="s">
        <v>2105</v>
      </c>
      <c r="B199" s="115"/>
      <c r="C199" s="116"/>
      <c r="D199" s="19">
        <v>144198.79</v>
      </c>
    </row>
    <row r="200" spans="1:4" ht="12.75">
      <c r="A200" s="120" t="s">
        <v>2106</v>
      </c>
      <c r="B200" s="121"/>
      <c r="C200" s="122"/>
      <c r="D200" s="42">
        <f>D182</f>
        <v>883283</v>
      </c>
    </row>
    <row r="201" spans="1:4" ht="12.75">
      <c r="A201" s="114" t="s">
        <v>779</v>
      </c>
      <c r="B201" s="115"/>
      <c r="C201" s="116"/>
      <c r="D201" s="18">
        <v>249108.08</v>
      </c>
    </row>
    <row r="202" spans="1:4" ht="12.75">
      <c r="A202" s="114" t="s">
        <v>780</v>
      </c>
      <c r="B202" s="115"/>
      <c r="C202" s="116"/>
      <c r="D202" s="18">
        <v>34359.59</v>
      </c>
    </row>
    <row r="203" spans="1:4" ht="12.75">
      <c r="A203" s="120" t="s">
        <v>781</v>
      </c>
      <c r="B203" s="121"/>
      <c r="C203" s="122"/>
      <c r="D203" s="41">
        <f>D200</f>
        <v>883283</v>
      </c>
    </row>
    <row r="204" spans="1:4" ht="12.75">
      <c r="A204" s="108" t="s">
        <v>2150</v>
      </c>
      <c r="B204" s="109"/>
      <c r="C204" s="110"/>
      <c r="D204" s="26">
        <f>D195-D197</f>
        <v>-2375.4338796564844</v>
      </c>
    </row>
    <row r="205" spans="1:4" ht="12.75">
      <c r="A205" s="108" t="s">
        <v>2151</v>
      </c>
      <c r="B205" s="109"/>
      <c r="C205" s="110"/>
      <c r="D205" s="26">
        <f>D198-D200</f>
        <v>-697633.67</v>
      </c>
    </row>
    <row r="206" spans="1:4" ht="12.75">
      <c r="A206" s="108" t="s">
        <v>2152</v>
      </c>
      <c r="B206" s="109"/>
      <c r="C206" s="110"/>
      <c r="D206" s="26">
        <f>D196-D197</f>
        <v>-302135.5938796565</v>
      </c>
    </row>
  </sheetData>
  <sheetProtection/>
  <mergeCells count="58">
    <mergeCell ref="A192:C192"/>
    <mergeCell ref="A195:C195"/>
    <mergeCell ref="A203:C203"/>
    <mergeCell ref="A199:C199"/>
    <mergeCell ref="A200:C200"/>
    <mergeCell ref="A201:C201"/>
    <mergeCell ref="A191:C191"/>
    <mergeCell ref="A193:C193"/>
    <mergeCell ref="A194:C194"/>
    <mergeCell ref="A206:C206"/>
    <mergeCell ref="A202:C202"/>
    <mergeCell ref="A205:C205"/>
    <mergeCell ref="A196:C196"/>
    <mergeCell ref="A197:C197"/>
    <mergeCell ref="A198:C198"/>
    <mergeCell ref="A204:C204"/>
    <mergeCell ref="A140:C140"/>
    <mergeCell ref="A190:C190"/>
    <mergeCell ref="A176:C176"/>
    <mergeCell ref="A161:C161"/>
    <mergeCell ref="A182:C182"/>
    <mergeCell ref="A163:C163"/>
    <mergeCell ref="A189:C189"/>
    <mergeCell ref="A168:C168"/>
    <mergeCell ref="A123:C123"/>
    <mergeCell ref="A141:C141"/>
    <mergeCell ref="A124:C124"/>
    <mergeCell ref="A125:C125"/>
    <mergeCell ref="A128:C128"/>
    <mergeCell ref="A137:C137"/>
    <mergeCell ref="A129:C129"/>
    <mergeCell ref="A127:C127"/>
    <mergeCell ref="A135:D135"/>
    <mergeCell ref="A138:C138"/>
    <mergeCell ref="A87:C87"/>
    <mergeCell ref="A70:C70"/>
    <mergeCell ref="A114:C114"/>
    <mergeCell ref="A118:C118"/>
    <mergeCell ref="A101:C101"/>
    <mergeCell ref="A109:C109"/>
    <mergeCell ref="A74:C74"/>
    <mergeCell ref="A130:C130"/>
    <mergeCell ref="A131:C131"/>
    <mergeCell ref="A126:C126"/>
    <mergeCell ref="A115:C115"/>
    <mergeCell ref="A117:C117"/>
    <mergeCell ref="A122:C122"/>
    <mergeCell ref="A121:C121"/>
    <mergeCell ref="A116:C116"/>
    <mergeCell ref="A119:C119"/>
    <mergeCell ref="A120:C120"/>
    <mergeCell ref="A1:D1"/>
    <mergeCell ref="A68:C68"/>
    <mergeCell ref="A9:C9"/>
    <mergeCell ref="A10:C10"/>
    <mergeCell ref="A3:C3"/>
    <mergeCell ref="A4:C4"/>
    <mergeCell ref="A6:C6"/>
  </mergeCells>
  <printOptions/>
  <pageMargins left="0.7086614173228347" right="0.31496062992125984" top="0.3937007874015748" bottom="0.35433070866141736" header="0.31496062992125984" footer="0.31496062992125984"/>
  <pageSetup horizontalDpi="600" verticalDpi="600" orientation="portrait" paperSize="9" scale="95" r:id="rId1"/>
  <ignoredErrors>
    <ignoredError sqref="D8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4" sqref="A1:D64"/>
    </sheetView>
  </sheetViews>
  <sheetFormatPr defaultColWidth="13.421875" defaultRowHeight="12.75" outlineLevelRow="2"/>
  <cols>
    <col min="1" max="1" width="12.710937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thickBot="1">
      <c r="A1" s="106" t="s">
        <v>1572</v>
      </c>
      <c r="B1" s="107"/>
      <c r="C1" s="107"/>
      <c r="D1" s="107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17960</v>
      </c>
      <c r="E3" s="45"/>
    </row>
    <row r="4" spans="1:5" ht="12.75" outlineLevel="1">
      <c r="A4" s="117" t="s">
        <v>1354</v>
      </c>
      <c r="B4" s="118"/>
      <c r="C4" s="119"/>
      <c r="D4" s="28">
        <f>SUM(D5:D5)</f>
        <v>17960</v>
      </c>
      <c r="E4" s="46"/>
    </row>
    <row r="5" spans="1:5" ht="12.75" outlineLevel="2">
      <c r="A5" s="7" t="s">
        <v>1992</v>
      </c>
      <c r="B5" s="29" t="s">
        <v>1959</v>
      </c>
      <c r="C5" s="13" t="s">
        <v>1991</v>
      </c>
      <c r="D5" s="30">
        <v>17960</v>
      </c>
      <c r="E5" s="46"/>
    </row>
    <row r="6" spans="1:5" ht="13.5" customHeight="1" thickBot="1">
      <c r="A6" s="124" t="s">
        <v>1343</v>
      </c>
      <c r="B6" s="124"/>
      <c r="C6" s="124"/>
      <c r="D6" s="25">
        <f>D7+D59+D62+D64+D77+D86+D93+D97+D98</f>
        <v>491953.235</v>
      </c>
      <c r="E6" s="45"/>
    </row>
    <row r="7" spans="1:5" ht="13.5" outlineLevel="1" thickTop="1">
      <c r="A7" s="111" t="s">
        <v>1354</v>
      </c>
      <c r="B7" s="112"/>
      <c r="C7" s="113"/>
      <c r="D7" s="28">
        <f>SUM(D8:D58)</f>
        <v>181362.195</v>
      </c>
      <c r="E7" s="46"/>
    </row>
    <row r="8" spans="1:5" ht="12.75" outlineLevel="2">
      <c r="A8" s="7" t="s">
        <v>1096</v>
      </c>
      <c r="B8" s="29" t="s">
        <v>849</v>
      </c>
      <c r="C8" s="7" t="s">
        <v>1116</v>
      </c>
      <c r="D8" s="30">
        <v>651</v>
      </c>
      <c r="E8" s="46"/>
    </row>
    <row r="9" spans="1:5" ht="12.75" outlineLevel="2">
      <c r="A9" s="7" t="s">
        <v>1135</v>
      </c>
      <c r="B9" s="29" t="s">
        <v>849</v>
      </c>
      <c r="C9" s="7" t="s">
        <v>1136</v>
      </c>
      <c r="D9" s="30">
        <v>802</v>
      </c>
      <c r="E9" s="46"/>
    </row>
    <row r="10" spans="1:5" ht="12.75" outlineLevel="2">
      <c r="A10" s="7" t="s">
        <v>1140</v>
      </c>
      <c r="B10" s="29" t="s">
        <v>849</v>
      </c>
      <c r="C10" s="7" t="s">
        <v>1136</v>
      </c>
      <c r="D10" s="30">
        <v>60</v>
      </c>
      <c r="E10" s="46"/>
    </row>
    <row r="11" spans="1:5" ht="12.75" outlineLevel="2">
      <c r="A11" s="7" t="s">
        <v>1755</v>
      </c>
      <c r="B11" s="29" t="s">
        <v>849</v>
      </c>
      <c r="C11" s="7" t="s">
        <v>1759</v>
      </c>
      <c r="D11" s="30">
        <v>383</v>
      </c>
      <c r="E11" s="46"/>
    </row>
    <row r="12" spans="1:5" ht="12.75" outlineLevel="2">
      <c r="A12" s="7" t="s">
        <v>1755</v>
      </c>
      <c r="B12" s="29" t="s">
        <v>849</v>
      </c>
      <c r="C12" s="7" t="s">
        <v>1775</v>
      </c>
      <c r="D12" s="30">
        <v>284</v>
      </c>
      <c r="E12" s="46"/>
    </row>
    <row r="13" spans="1:5" ht="12.75" outlineLevel="2">
      <c r="A13" s="7" t="s">
        <v>2168</v>
      </c>
      <c r="B13" s="29" t="s">
        <v>849</v>
      </c>
      <c r="C13" s="7" t="s">
        <v>2169</v>
      </c>
      <c r="D13" s="30">
        <v>935</v>
      </c>
      <c r="E13" s="46"/>
    </row>
    <row r="14" spans="1:5" ht="12.75" outlineLevel="2">
      <c r="A14" s="7" t="s">
        <v>2168</v>
      </c>
      <c r="B14" s="29" t="s">
        <v>849</v>
      </c>
      <c r="C14" s="7" t="s">
        <v>2170</v>
      </c>
      <c r="D14" s="30">
        <v>94.7</v>
      </c>
      <c r="E14" s="46"/>
    </row>
    <row r="15" spans="1:5" ht="12.75" outlineLevel="2">
      <c r="A15" s="51" t="s">
        <v>2202</v>
      </c>
      <c r="B15" s="52" t="s">
        <v>849</v>
      </c>
      <c r="C15" s="51" t="s">
        <v>2200</v>
      </c>
      <c r="D15" s="30">
        <v>213.07</v>
      </c>
      <c r="E15" s="46"/>
    </row>
    <row r="16" spans="1:5" ht="12.75" outlineLevel="2">
      <c r="A16" s="51" t="s">
        <v>686</v>
      </c>
      <c r="B16" s="52" t="s">
        <v>1951</v>
      </c>
      <c r="C16" s="51" t="s">
        <v>687</v>
      </c>
      <c r="D16" s="30">
        <v>521</v>
      </c>
      <c r="E16" s="46"/>
    </row>
    <row r="17" spans="1:5" ht="12.75" outlineLevel="2">
      <c r="A17" s="51" t="s">
        <v>226</v>
      </c>
      <c r="B17" s="52" t="s">
        <v>1951</v>
      </c>
      <c r="C17" s="51" t="s">
        <v>227</v>
      </c>
      <c r="D17" s="30">
        <v>3076</v>
      </c>
      <c r="E17" s="46"/>
    </row>
    <row r="18" spans="1:5" ht="12.75" outlineLevel="2">
      <c r="A18" s="51" t="s">
        <v>232</v>
      </c>
      <c r="B18" s="52" t="s">
        <v>1951</v>
      </c>
      <c r="C18" s="51" t="s">
        <v>233</v>
      </c>
      <c r="D18" s="30">
        <v>611</v>
      </c>
      <c r="E18" s="46"/>
    </row>
    <row r="19" spans="1:5" ht="12.75" outlineLevel="2">
      <c r="A19" s="51" t="s">
        <v>455</v>
      </c>
      <c r="B19" s="52" t="s">
        <v>1951</v>
      </c>
      <c r="C19" s="51" t="s">
        <v>462</v>
      </c>
      <c r="D19" s="30">
        <v>106</v>
      </c>
      <c r="E19" s="46"/>
    </row>
    <row r="20" spans="1:5" ht="12.75" outlineLevel="2">
      <c r="A20" s="7" t="s">
        <v>1692</v>
      </c>
      <c r="B20" s="29" t="s">
        <v>1952</v>
      </c>
      <c r="C20" s="7" t="s">
        <v>1693</v>
      </c>
      <c r="D20" s="30">
        <v>347</v>
      </c>
      <c r="E20" s="46"/>
    </row>
    <row r="21" spans="1:5" ht="12.75" outlineLevel="2">
      <c r="A21" s="7" t="s">
        <v>1697</v>
      </c>
      <c r="B21" s="29" t="s">
        <v>1952</v>
      </c>
      <c r="C21" s="7" t="s">
        <v>1</v>
      </c>
      <c r="D21" s="30">
        <v>893</v>
      </c>
      <c r="E21" s="46"/>
    </row>
    <row r="22" spans="1:5" ht="12.75" outlineLevel="2">
      <c r="A22" s="7" t="s">
        <v>2282</v>
      </c>
      <c r="B22" s="29" t="s">
        <v>1952</v>
      </c>
      <c r="C22" s="7" t="s">
        <v>2200</v>
      </c>
      <c r="D22" s="30">
        <v>7.84</v>
      </c>
      <c r="E22" s="46"/>
    </row>
    <row r="23" spans="1:5" ht="12.75" outlineLevel="2">
      <c r="A23" s="8" t="s">
        <v>1306</v>
      </c>
      <c r="B23" s="29" t="s">
        <v>1953</v>
      </c>
      <c r="C23" s="7" t="s">
        <v>1328</v>
      </c>
      <c r="D23" s="31">
        <v>568.2</v>
      </c>
      <c r="E23" s="46"/>
    </row>
    <row r="24" spans="1:5" ht="12.75" outlineLevel="2">
      <c r="A24" s="8" t="s">
        <v>2418</v>
      </c>
      <c r="B24" s="29" t="s">
        <v>1953</v>
      </c>
      <c r="C24" s="7" t="s">
        <v>2419</v>
      </c>
      <c r="D24" s="31">
        <v>1119</v>
      </c>
      <c r="E24" s="46"/>
    </row>
    <row r="25" spans="1:5" ht="12.75" outlineLevel="2">
      <c r="A25" s="8" t="s">
        <v>2321</v>
      </c>
      <c r="B25" s="29" t="s">
        <v>1953</v>
      </c>
      <c r="C25" s="7" t="s">
        <v>2322</v>
      </c>
      <c r="D25" s="31">
        <v>5545</v>
      </c>
      <c r="E25" s="46"/>
    </row>
    <row r="26" spans="1:5" ht="12.75" outlineLevel="2">
      <c r="A26" s="8" t="s">
        <v>2315</v>
      </c>
      <c r="B26" s="29" t="s">
        <v>1953</v>
      </c>
      <c r="C26" s="7" t="s">
        <v>2317</v>
      </c>
      <c r="D26" s="31">
        <v>941</v>
      </c>
      <c r="E26" s="46"/>
    </row>
    <row r="27" spans="1:5" ht="12.75" outlineLevel="2">
      <c r="A27" s="8" t="s">
        <v>2617</v>
      </c>
      <c r="B27" s="29" t="s">
        <v>1954</v>
      </c>
      <c r="C27" s="7" t="s">
        <v>2618</v>
      </c>
      <c r="D27" s="31">
        <v>5785</v>
      </c>
      <c r="E27" s="46"/>
    </row>
    <row r="28" spans="1:5" ht="12.75" outlineLevel="2">
      <c r="A28" s="55" t="s">
        <v>2637</v>
      </c>
      <c r="B28" s="52" t="s">
        <v>1954</v>
      </c>
      <c r="C28" s="51" t="s">
        <v>2638</v>
      </c>
      <c r="D28" s="31">
        <v>3697</v>
      </c>
      <c r="E28" s="46"/>
    </row>
    <row r="29" spans="1:5" ht="12.75" outlineLevel="2">
      <c r="A29" s="55" t="s">
        <v>2648</v>
      </c>
      <c r="B29" s="52" t="s">
        <v>1954</v>
      </c>
      <c r="C29" s="51" t="s">
        <v>2649</v>
      </c>
      <c r="D29" s="31">
        <v>2036</v>
      </c>
      <c r="E29" s="46"/>
    </row>
    <row r="30" spans="1:5" ht="12.75" outlineLevel="2">
      <c r="A30" s="55" t="s">
        <v>2707</v>
      </c>
      <c r="B30" s="52" t="s">
        <v>1954</v>
      </c>
      <c r="C30" s="51" t="s">
        <v>2708</v>
      </c>
      <c r="D30" s="31">
        <v>8613</v>
      </c>
      <c r="E30" s="46"/>
    </row>
    <row r="31" spans="1:5" ht="12.75" outlineLevel="2">
      <c r="A31" s="8" t="s">
        <v>563</v>
      </c>
      <c r="B31" s="29" t="s">
        <v>1954</v>
      </c>
      <c r="C31" s="7" t="s">
        <v>2762</v>
      </c>
      <c r="D31" s="31">
        <f>141.13+568.2</f>
        <v>709.33</v>
      </c>
      <c r="E31" s="46"/>
    </row>
    <row r="32" spans="1:5" ht="12.75" outlineLevel="2">
      <c r="A32" s="55" t="s">
        <v>145</v>
      </c>
      <c r="B32" s="52" t="s">
        <v>1955</v>
      </c>
      <c r="C32" s="51" t="s">
        <v>146</v>
      </c>
      <c r="D32" s="31">
        <v>6502</v>
      </c>
      <c r="E32" s="46"/>
    </row>
    <row r="33" spans="1:5" ht="12.75" outlineLevel="2">
      <c r="A33" s="8" t="s">
        <v>147</v>
      </c>
      <c r="B33" s="29" t="s">
        <v>1955</v>
      </c>
      <c r="C33" s="7" t="s">
        <v>148</v>
      </c>
      <c r="D33" s="31">
        <v>4763</v>
      </c>
      <c r="E33" s="46"/>
    </row>
    <row r="34" spans="1:5" ht="12.75" outlineLevel="2">
      <c r="A34" s="8" t="s">
        <v>151</v>
      </c>
      <c r="B34" s="29" t="s">
        <v>1955</v>
      </c>
      <c r="C34" s="7" t="s">
        <v>153</v>
      </c>
      <c r="D34" s="31">
        <v>426</v>
      </c>
      <c r="E34" s="46"/>
    </row>
    <row r="35" spans="1:5" ht="12.75" outlineLevel="2">
      <c r="A35" s="8" t="s">
        <v>1001</v>
      </c>
      <c r="B35" s="29" t="s">
        <v>1955</v>
      </c>
      <c r="C35" s="7" t="s">
        <v>1002</v>
      </c>
      <c r="D35" s="31">
        <v>545</v>
      </c>
      <c r="E35" s="46"/>
    </row>
    <row r="36" spans="1:5" ht="12.75" outlineLevel="2">
      <c r="A36" s="8" t="s">
        <v>379</v>
      </c>
      <c r="B36" s="29" t="s">
        <v>1955</v>
      </c>
      <c r="C36" s="7" t="s">
        <v>374</v>
      </c>
      <c r="D36" s="31">
        <v>94.7</v>
      </c>
      <c r="E36" s="46"/>
    </row>
    <row r="37" spans="1:5" ht="12.75" outlineLevel="2">
      <c r="A37" s="8" t="s">
        <v>426</v>
      </c>
      <c r="B37" s="29" t="s">
        <v>1955</v>
      </c>
      <c r="C37" s="7" t="s">
        <v>424</v>
      </c>
      <c r="D37" s="31">
        <v>15876</v>
      </c>
      <c r="E37" s="46"/>
    </row>
    <row r="38" spans="1:5" ht="12.75" outlineLevel="2">
      <c r="A38" s="8" t="s">
        <v>1930</v>
      </c>
      <c r="B38" s="29" t="s">
        <v>1955</v>
      </c>
      <c r="C38" s="7" t="s">
        <v>424</v>
      </c>
      <c r="D38" s="31">
        <v>3938.06</v>
      </c>
      <c r="E38" s="46"/>
    </row>
    <row r="39" spans="1:5" ht="12.75" outlineLevel="2">
      <c r="A39" s="8" t="s">
        <v>2575</v>
      </c>
      <c r="B39" s="29" t="s">
        <v>1957</v>
      </c>
      <c r="C39" s="7" t="s">
        <v>2576</v>
      </c>
      <c r="D39" s="31">
        <v>7.84</v>
      </c>
      <c r="E39" s="46"/>
    </row>
    <row r="40" spans="1:5" ht="12.75" outlineLevel="2">
      <c r="A40" s="8" t="s">
        <v>1214</v>
      </c>
      <c r="B40" s="29" t="s">
        <v>1957</v>
      </c>
      <c r="C40" s="7" t="s">
        <v>1215</v>
      </c>
      <c r="D40" s="31">
        <v>2484</v>
      </c>
      <c r="E40" s="46"/>
    </row>
    <row r="41" spans="1:5" ht="12.75" outlineLevel="2">
      <c r="A41" s="8" t="s">
        <v>318</v>
      </c>
      <c r="B41" s="29" t="s">
        <v>1958</v>
      </c>
      <c r="C41" s="7" t="s">
        <v>319</v>
      </c>
      <c r="D41" s="31">
        <v>3771</v>
      </c>
      <c r="E41" s="46"/>
    </row>
    <row r="42" spans="1:5" ht="12.75" outlineLevel="2">
      <c r="A42" s="8" t="s">
        <v>2508</v>
      </c>
      <c r="B42" s="29" t="s">
        <v>1959</v>
      </c>
      <c r="C42" s="7" t="s">
        <v>2509</v>
      </c>
      <c r="D42" s="31">
        <v>11497</v>
      </c>
      <c r="E42" s="46"/>
    </row>
    <row r="43" spans="1:5" ht="12.75" outlineLevel="2">
      <c r="A43" s="8" t="s">
        <v>2148</v>
      </c>
      <c r="B43" s="29" t="s">
        <v>1959</v>
      </c>
      <c r="C43" s="7" t="s">
        <v>1186</v>
      </c>
      <c r="D43" s="31">
        <v>1722</v>
      </c>
      <c r="E43" s="46"/>
    </row>
    <row r="44" spans="1:5" ht="12.75" customHeight="1" outlineLevel="2">
      <c r="A44" s="8" t="s">
        <v>383</v>
      </c>
      <c r="B44" s="29" t="s">
        <v>1959</v>
      </c>
      <c r="C44" s="7" t="s">
        <v>384</v>
      </c>
      <c r="D44" s="31">
        <v>41658</v>
      </c>
      <c r="E44" s="46"/>
    </row>
    <row r="45" spans="1:5" ht="12.75" customHeight="1" outlineLevel="2">
      <c r="A45" s="8" t="s">
        <v>884</v>
      </c>
      <c r="B45" s="29" t="s">
        <v>1959</v>
      </c>
      <c r="C45" s="7" t="s">
        <v>885</v>
      </c>
      <c r="D45" s="31">
        <v>3138</v>
      </c>
      <c r="E45" s="46"/>
    </row>
    <row r="46" spans="1:5" ht="12.75" customHeight="1" outlineLevel="2">
      <c r="A46" s="8" t="s">
        <v>2148</v>
      </c>
      <c r="B46" s="29" t="s">
        <v>1959</v>
      </c>
      <c r="C46" s="7" t="s">
        <v>1186</v>
      </c>
      <c r="D46" s="31">
        <v>1722</v>
      </c>
      <c r="E46" s="46"/>
    </row>
    <row r="47" spans="1:5" ht="12.75" customHeight="1" outlineLevel="2">
      <c r="A47" s="8" t="s">
        <v>2042</v>
      </c>
      <c r="B47" s="29" t="s">
        <v>1960</v>
      </c>
      <c r="C47" s="7" t="s">
        <v>2043</v>
      </c>
      <c r="D47" s="31">
        <v>4681.6</v>
      </c>
      <c r="E47" s="46"/>
    </row>
    <row r="48" spans="1:5" ht="12.75" outlineLevel="2">
      <c r="A48" s="8" t="s">
        <v>2046</v>
      </c>
      <c r="B48" s="29" t="s">
        <v>1960</v>
      </c>
      <c r="C48" s="7" t="s">
        <v>2051</v>
      </c>
      <c r="D48" s="31">
        <v>346.98</v>
      </c>
      <c r="E48" s="46"/>
    </row>
    <row r="49" spans="1:5" ht="12.75" outlineLevel="2">
      <c r="A49" s="8" t="s">
        <v>836</v>
      </c>
      <c r="B49" s="29" t="s">
        <v>1960</v>
      </c>
      <c r="C49" s="7" t="s">
        <v>837</v>
      </c>
      <c r="D49" s="31">
        <v>1673.85</v>
      </c>
      <c r="E49" s="46"/>
    </row>
    <row r="50" spans="1:5" ht="12.75" outlineLevel="2">
      <c r="A50" s="8" t="s">
        <v>871</v>
      </c>
      <c r="B50" s="29" t="s">
        <v>1959</v>
      </c>
      <c r="C50" s="7" t="s">
        <v>2727</v>
      </c>
      <c r="D50" s="31">
        <v>4002.98</v>
      </c>
      <c r="E50" s="46"/>
    </row>
    <row r="51" spans="1:5" ht="12.75" outlineLevel="2">
      <c r="A51" s="8" t="s">
        <v>943</v>
      </c>
      <c r="B51" s="29" t="s">
        <v>1960</v>
      </c>
      <c r="C51" s="7" t="s">
        <v>914</v>
      </c>
      <c r="D51" s="31">
        <v>2272.8</v>
      </c>
      <c r="E51" s="46"/>
    </row>
    <row r="52" spans="1:5" ht="12.75" outlineLevel="2">
      <c r="A52" s="8" t="s">
        <v>1373</v>
      </c>
      <c r="B52" s="29" t="s">
        <v>1961</v>
      </c>
      <c r="C52" s="7" t="s">
        <v>1374</v>
      </c>
      <c r="D52" s="31">
        <v>9608.65</v>
      </c>
      <c r="E52" s="46"/>
    </row>
    <row r="53" spans="1:5" ht="12.75" outlineLevel="2">
      <c r="A53" s="8" t="s">
        <v>1415</v>
      </c>
      <c r="B53" s="29" t="s">
        <v>1961</v>
      </c>
      <c r="C53" s="7" t="s">
        <v>1414</v>
      </c>
      <c r="D53" s="31">
        <v>13542</v>
      </c>
      <c r="E53" s="46"/>
    </row>
    <row r="54" spans="1:5" ht="12.75" outlineLevel="2">
      <c r="A54" s="8" t="s">
        <v>1424</v>
      </c>
      <c r="B54" s="29" t="s">
        <v>1961</v>
      </c>
      <c r="C54" s="7" t="s">
        <v>1425</v>
      </c>
      <c r="D54" s="31">
        <v>657</v>
      </c>
      <c r="E54" s="46"/>
    </row>
    <row r="55" spans="1:5" ht="12.75" outlineLevel="2">
      <c r="A55" s="8" t="s">
        <v>1430</v>
      </c>
      <c r="B55" s="29" t="s">
        <v>1961</v>
      </c>
      <c r="C55" s="7" t="s">
        <v>1431</v>
      </c>
      <c r="D55" s="31">
        <v>6894</v>
      </c>
      <c r="E55" s="46"/>
    </row>
    <row r="56" spans="1:5" ht="12.75" outlineLevel="2">
      <c r="A56" s="55" t="s">
        <v>1497</v>
      </c>
      <c r="B56" s="52" t="s">
        <v>1961</v>
      </c>
      <c r="C56" s="51" t="s">
        <v>1498</v>
      </c>
      <c r="D56" s="31">
        <v>1264</v>
      </c>
      <c r="E56" s="46"/>
    </row>
    <row r="57" spans="1:5" ht="12.75" outlineLevel="2">
      <c r="A57" s="8" t="s">
        <v>1558</v>
      </c>
      <c r="B57" s="52" t="s">
        <v>1961</v>
      </c>
      <c r="C57" s="7" t="s">
        <v>1560</v>
      </c>
      <c r="D57" s="31">
        <v>91.865</v>
      </c>
      <c r="E57" s="46"/>
    </row>
    <row r="58" spans="1:5" ht="12.75" outlineLevel="2">
      <c r="A58" s="8" t="s">
        <v>1559</v>
      </c>
      <c r="B58" s="52" t="s">
        <v>1961</v>
      </c>
      <c r="C58" s="7" t="s">
        <v>1561</v>
      </c>
      <c r="D58" s="31">
        <v>183.73</v>
      </c>
      <c r="E58" s="46"/>
    </row>
    <row r="59" spans="1:5" ht="12.75" outlineLevel="1">
      <c r="A59" s="117" t="s">
        <v>1340</v>
      </c>
      <c r="B59" s="118"/>
      <c r="C59" s="119"/>
      <c r="D59" s="28">
        <f>SUM(D60:D61)</f>
        <v>2176</v>
      </c>
      <c r="E59" s="46"/>
    </row>
    <row r="60" spans="1:5" ht="25.5" outlineLevel="2">
      <c r="A60" s="9" t="s">
        <v>1717</v>
      </c>
      <c r="B60" s="29" t="s">
        <v>849</v>
      </c>
      <c r="C60" s="7" t="s">
        <v>1718</v>
      </c>
      <c r="D60" s="30">
        <v>1964</v>
      </c>
      <c r="E60" s="46"/>
    </row>
    <row r="61" spans="1:5" ht="12.75" outlineLevel="2">
      <c r="A61" s="9" t="s">
        <v>354</v>
      </c>
      <c r="B61" s="29" t="s">
        <v>1951</v>
      </c>
      <c r="C61" s="7" t="s">
        <v>355</v>
      </c>
      <c r="D61" s="30">
        <v>212</v>
      </c>
      <c r="E61" s="46"/>
    </row>
    <row r="62" spans="1:5" ht="12.75" outlineLevel="1">
      <c r="A62" s="117" t="s">
        <v>1342</v>
      </c>
      <c r="B62" s="118"/>
      <c r="C62" s="119"/>
      <c r="D62" s="28">
        <f>SUM(D63:D63)</f>
        <v>19761</v>
      </c>
      <c r="E62" s="46"/>
    </row>
    <row r="63" spans="1:5" ht="12.75" outlineLevel="2">
      <c r="A63" s="7" t="s">
        <v>650</v>
      </c>
      <c r="B63" s="29" t="s">
        <v>1951</v>
      </c>
      <c r="C63" s="7" t="s">
        <v>651</v>
      </c>
      <c r="D63" s="30">
        <v>19761</v>
      </c>
      <c r="E63" s="46"/>
    </row>
    <row r="64" spans="1:5" ht="12.75" outlineLevel="1">
      <c r="A64" s="117" t="s">
        <v>1344</v>
      </c>
      <c r="B64" s="118"/>
      <c r="C64" s="119"/>
      <c r="D64" s="28">
        <f>SUM(D65:D76)</f>
        <v>186296.05</v>
      </c>
      <c r="E64" s="46"/>
    </row>
    <row r="65" spans="1:5" ht="12.75" outlineLevel="2">
      <c r="A65" s="7"/>
      <c r="B65" s="29" t="s">
        <v>849</v>
      </c>
      <c r="C65" s="7" t="s">
        <v>1950</v>
      </c>
      <c r="D65" s="30">
        <f>3122+2726.81+1620.28+3833.34+1659.8+1027.49</f>
        <v>13989.72</v>
      </c>
      <c r="E65" s="46"/>
    </row>
    <row r="66" spans="1:5" ht="12.75" outlineLevel="2">
      <c r="A66" s="7"/>
      <c r="B66" s="29" t="s">
        <v>1951</v>
      </c>
      <c r="C66" s="7" t="s">
        <v>1950</v>
      </c>
      <c r="D66" s="30">
        <f>3122+2726.81+1620.28+3833.34+1659.8+1027.49</f>
        <v>13989.72</v>
      </c>
      <c r="E66" s="46"/>
    </row>
    <row r="67" spans="1:5" ht="12.75" outlineLevel="2">
      <c r="A67" s="7"/>
      <c r="B67" s="29" t="s">
        <v>1952</v>
      </c>
      <c r="C67" s="7" t="s">
        <v>1950</v>
      </c>
      <c r="D67" s="30">
        <f>2965.9+2181.45+1231.41+2913.34+1261.45+1027.49+237.11</f>
        <v>11818.150000000001</v>
      </c>
      <c r="E67" s="46"/>
    </row>
    <row r="68" spans="1:5" ht="12.75" outlineLevel="2">
      <c r="A68" s="7"/>
      <c r="B68" s="29" t="s">
        <v>1953</v>
      </c>
      <c r="C68" s="7" t="s">
        <v>1950</v>
      </c>
      <c r="D68" s="30">
        <f>2684.92+2410.66+5453.62+1580.76+1027.49+237.11</f>
        <v>13394.560000000001</v>
      </c>
      <c r="E68" s="46"/>
    </row>
    <row r="69" spans="1:5" ht="12.75" outlineLevel="2">
      <c r="A69" s="7"/>
      <c r="B69" s="29" t="s">
        <v>1954</v>
      </c>
      <c r="C69" s="7" t="s">
        <v>1950</v>
      </c>
      <c r="D69" s="30">
        <f>2809.8+2094.51+5374.58+1462.2+987.98+237.11</f>
        <v>12966.18</v>
      </c>
      <c r="E69" s="46"/>
    </row>
    <row r="70" spans="1:5" ht="12.75" outlineLevel="2">
      <c r="A70" s="7"/>
      <c r="B70" s="29" t="s">
        <v>1955</v>
      </c>
      <c r="C70" s="7" t="s">
        <v>1950</v>
      </c>
      <c r="D70" s="30">
        <f>1561+1047.25+2726.81+731.1+493.99+632.3</f>
        <v>7192.45</v>
      </c>
      <c r="E70" s="46"/>
    </row>
    <row r="71" spans="1:5" ht="12.75" outlineLevel="2">
      <c r="A71" s="7"/>
      <c r="B71" s="29" t="s">
        <v>1956</v>
      </c>
      <c r="C71" s="7" t="s">
        <v>1950</v>
      </c>
      <c r="D71" s="30">
        <f>3477.67+2331.62+6085.93+1620.28+1106.53</f>
        <v>14622.030000000002</v>
      </c>
      <c r="E71" s="46"/>
    </row>
    <row r="72" spans="1:5" ht="12.75" outlineLevel="2">
      <c r="A72" s="7"/>
      <c r="B72" s="29" t="s">
        <v>1957</v>
      </c>
      <c r="C72" s="7" t="s">
        <v>1950</v>
      </c>
      <c r="D72" s="30">
        <f>3477.67+2331.62+6085.93+1620.28+1106.53</f>
        <v>14622.030000000002</v>
      </c>
      <c r="E72" s="46"/>
    </row>
    <row r="73" spans="1:5" ht="12.75" outlineLevel="2">
      <c r="A73" s="7"/>
      <c r="B73" s="29" t="s">
        <v>1958</v>
      </c>
      <c r="C73" s="7" t="s">
        <v>1950</v>
      </c>
      <c r="D73" s="30">
        <f>3477.67+25647.83+6085.93+1620.28+1106.53</f>
        <v>37938.24</v>
      </c>
      <c r="E73" s="46"/>
    </row>
    <row r="74" spans="1:5" ht="12.75" outlineLevel="2">
      <c r="A74" s="7"/>
      <c r="B74" s="29" t="s">
        <v>1959</v>
      </c>
      <c r="C74" s="7" t="s">
        <v>1950</v>
      </c>
      <c r="D74" s="30">
        <f>3477.67+2331.62+6085.93+1620.28+1106.53</f>
        <v>14622.030000000002</v>
      </c>
      <c r="E74" s="46"/>
    </row>
    <row r="75" spans="1:5" ht="12.75" outlineLevel="2">
      <c r="A75" s="7"/>
      <c r="B75" s="29" t="s">
        <v>1960</v>
      </c>
      <c r="C75" s="7" t="s">
        <v>1950</v>
      </c>
      <c r="D75" s="30">
        <f>3477.67+3042.96+1817.87+4268.05+1857.39+1106.53</f>
        <v>15570.47</v>
      </c>
      <c r="E75" s="46"/>
    </row>
    <row r="76" spans="1:5" ht="12.75" outlineLevel="2">
      <c r="A76" s="11"/>
      <c r="B76" s="29" t="s">
        <v>1961</v>
      </c>
      <c r="C76" s="7" t="s">
        <v>1950</v>
      </c>
      <c r="D76" s="30">
        <f>3477.67+3042.96+1817.87+4268.05+1857.39+1106.53</f>
        <v>15570.47</v>
      </c>
      <c r="E76" s="46"/>
    </row>
    <row r="77" spans="1:5" ht="12.75" outlineLevel="1">
      <c r="A77" s="117" t="s">
        <v>1346</v>
      </c>
      <c r="B77" s="118"/>
      <c r="C77" s="119"/>
      <c r="D77" s="28">
        <f>SUM(D78:D85)</f>
        <v>11196.54</v>
      </c>
      <c r="E77" s="46"/>
    </row>
    <row r="78" spans="1:5" ht="12.75" outlineLevel="2">
      <c r="A78" s="7" t="s">
        <v>1711</v>
      </c>
      <c r="B78" s="29" t="s">
        <v>849</v>
      </c>
      <c r="C78" s="7" t="s">
        <v>1712</v>
      </c>
      <c r="D78" s="30">
        <v>1554</v>
      </c>
      <c r="E78" s="46"/>
    </row>
    <row r="79" spans="1:5" ht="12.75" outlineLevel="2">
      <c r="A79" s="7" t="s">
        <v>1973</v>
      </c>
      <c r="B79" s="29" t="s">
        <v>849</v>
      </c>
      <c r="C79" s="7" t="s">
        <v>1975</v>
      </c>
      <c r="D79" s="30">
        <v>1560</v>
      </c>
      <c r="E79" s="46"/>
    </row>
    <row r="80" spans="1:5" ht="25.5" outlineLevel="2">
      <c r="A80" s="7" t="s">
        <v>2396</v>
      </c>
      <c r="B80" s="29" t="s">
        <v>1952</v>
      </c>
      <c r="C80" s="7" t="s">
        <v>2393</v>
      </c>
      <c r="D80" s="30">
        <v>400</v>
      </c>
      <c r="E80" s="46"/>
    </row>
    <row r="81" spans="1:5" ht="25.5" outlineLevel="2">
      <c r="A81" s="7" t="s">
        <v>2396</v>
      </c>
      <c r="B81" s="29" t="s">
        <v>1952</v>
      </c>
      <c r="C81" s="7" t="s">
        <v>2394</v>
      </c>
      <c r="D81" s="30">
        <v>39</v>
      </c>
      <c r="E81" s="46"/>
    </row>
    <row r="82" spans="1:5" ht="25.5" outlineLevel="2">
      <c r="A82" s="7" t="s">
        <v>2396</v>
      </c>
      <c r="B82" s="29" t="s">
        <v>1952</v>
      </c>
      <c r="C82" s="7" t="s">
        <v>2390</v>
      </c>
      <c r="D82" s="30">
        <v>311.11</v>
      </c>
      <c r="E82" s="46"/>
    </row>
    <row r="83" spans="1:5" ht="12.75" outlineLevel="2">
      <c r="A83" s="7" t="s">
        <v>710</v>
      </c>
      <c r="B83" s="29" t="s">
        <v>1957</v>
      </c>
      <c r="C83" s="7" t="s">
        <v>709</v>
      </c>
      <c r="D83" s="30">
        <v>6012</v>
      </c>
      <c r="E83" s="46"/>
    </row>
    <row r="84" spans="1:5" ht="12.75" outlineLevel="2">
      <c r="A84" s="7" t="s">
        <v>1805</v>
      </c>
      <c r="B84" s="29" t="s">
        <v>1958</v>
      </c>
      <c r="C84" s="7" t="s">
        <v>1804</v>
      </c>
      <c r="D84" s="30">
        <v>350.52</v>
      </c>
      <c r="E84" s="46"/>
    </row>
    <row r="85" spans="1:5" ht="12.75" outlineLevel="2">
      <c r="A85" s="7" t="s">
        <v>1416</v>
      </c>
      <c r="B85" s="29" t="s">
        <v>1961</v>
      </c>
      <c r="C85" s="7" t="s">
        <v>1417</v>
      </c>
      <c r="D85" s="30">
        <v>969.91</v>
      </c>
      <c r="E85" s="46"/>
    </row>
    <row r="86" spans="1:5" ht="12.75" outlineLevel="1">
      <c r="A86" s="117" t="s">
        <v>1341</v>
      </c>
      <c r="B86" s="118"/>
      <c r="C86" s="119"/>
      <c r="D86" s="28">
        <f>SUM(D87:D92)</f>
        <v>5797.93</v>
      </c>
      <c r="E86" s="46"/>
    </row>
    <row r="87" spans="1:5" ht="12.75" outlineLevel="2">
      <c r="A87" s="50" t="s">
        <v>136</v>
      </c>
      <c r="B87" s="29" t="s">
        <v>849</v>
      </c>
      <c r="C87" s="7" t="s">
        <v>139</v>
      </c>
      <c r="D87" s="30">
        <v>1210</v>
      </c>
      <c r="E87" s="46"/>
    </row>
    <row r="88" spans="1:5" ht="12.75" outlineLevel="2">
      <c r="A88" s="7" t="s">
        <v>1715</v>
      </c>
      <c r="B88" s="29" t="s">
        <v>849</v>
      </c>
      <c r="C88" s="7" t="s">
        <v>1716</v>
      </c>
      <c r="D88" s="30">
        <v>1493</v>
      </c>
      <c r="E88" s="46"/>
    </row>
    <row r="89" spans="1:5" ht="12.75" outlineLevel="2">
      <c r="A89" s="51" t="s">
        <v>661</v>
      </c>
      <c r="B89" s="52" t="s">
        <v>1951</v>
      </c>
      <c r="C89" s="51" t="s">
        <v>662</v>
      </c>
      <c r="D89" s="30">
        <v>869</v>
      </c>
      <c r="E89" s="46"/>
    </row>
    <row r="90" spans="1:5" ht="12.75" outlineLevel="2">
      <c r="A90" s="7" t="s">
        <v>596</v>
      </c>
      <c r="B90" s="29" t="s">
        <v>1954</v>
      </c>
      <c r="C90" s="7" t="s">
        <v>595</v>
      </c>
      <c r="D90" s="30">
        <v>960</v>
      </c>
      <c r="E90" s="46"/>
    </row>
    <row r="91" spans="1:5" ht="12.75" outlineLevel="2">
      <c r="A91" s="7" t="s">
        <v>2489</v>
      </c>
      <c r="B91" s="29" t="s">
        <v>1959</v>
      </c>
      <c r="C91" s="7" t="s">
        <v>2490</v>
      </c>
      <c r="D91" s="30">
        <v>1095</v>
      </c>
      <c r="E91" s="46"/>
    </row>
    <row r="92" spans="1:5" ht="12.75" outlineLevel="2">
      <c r="A92" s="7" t="s">
        <v>2495</v>
      </c>
      <c r="B92" s="29" t="s">
        <v>1959</v>
      </c>
      <c r="C92" s="7" t="s">
        <v>2500</v>
      </c>
      <c r="D92" s="30">
        <v>170.93</v>
      </c>
      <c r="E92" s="46"/>
    </row>
    <row r="93" spans="1:5" ht="12.75" outlineLevel="1">
      <c r="A93" s="117" t="s">
        <v>1347</v>
      </c>
      <c r="B93" s="118"/>
      <c r="C93" s="119"/>
      <c r="D93" s="28">
        <f>SUM(D94:D94)</f>
        <v>7115.9</v>
      </c>
      <c r="E93" s="46"/>
    </row>
    <row r="94" spans="1:5" ht="12.75" outlineLevel="2">
      <c r="A94" s="11"/>
      <c r="B94" s="29"/>
      <c r="C94" s="7" t="s">
        <v>239</v>
      </c>
      <c r="D94" s="30">
        <v>7115.9</v>
      </c>
      <c r="E94" s="46"/>
    </row>
    <row r="95" spans="1:5" ht="12.75" customHeight="1">
      <c r="A95" s="129" t="s">
        <v>1349</v>
      </c>
      <c r="B95" s="130"/>
      <c r="C95" s="131"/>
      <c r="D95" s="32">
        <f>SUM(D96:D96)</f>
        <v>206380</v>
      </c>
      <c r="E95" s="45"/>
    </row>
    <row r="96" spans="1:5" ht="12.75" outlineLevel="1">
      <c r="A96" s="13" t="s">
        <v>45</v>
      </c>
      <c r="B96" s="29" t="s">
        <v>1960</v>
      </c>
      <c r="C96" s="13" t="s">
        <v>46</v>
      </c>
      <c r="D96" s="36">
        <v>206380</v>
      </c>
      <c r="E96" s="46"/>
    </row>
    <row r="97" spans="1:6" ht="12.75">
      <c r="A97" s="6">
        <v>3951.9</v>
      </c>
      <c r="B97" s="6" t="s">
        <v>1356</v>
      </c>
      <c r="C97" s="37" t="s">
        <v>1345</v>
      </c>
      <c r="D97" s="23">
        <f>(3951.9*6*1.46)+(3951.9*6*1.63)</f>
        <v>73268.226</v>
      </c>
      <c r="E97" s="46"/>
      <c r="F97" s="37" t="s">
        <v>1352</v>
      </c>
    </row>
    <row r="98" spans="1:6" ht="13.5" thickBot="1">
      <c r="A98" s="6">
        <v>3951.9</v>
      </c>
      <c r="B98" s="6" t="s">
        <v>1356</v>
      </c>
      <c r="C98" s="37" t="s">
        <v>1357</v>
      </c>
      <c r="D98" s="23">
        <f>(3951.9*6*0.1)+(3951.9*6*0.11)</f>
        <v>4979.394</v>
      </c>
      <c r="E98" s="46"/>
      <c r="F98" s="37" t="s">
        <v>1351</v>
      </c>
    </row>
    <row r="99" spans="1:6" ht="12.75" customHeight="1" thickTop="1">
      <c r="A99" s="132" t="s">
        <v>1361</v>
      </c>
      <c r="B99" s="133"/>
      <c r="C99" s="134"/>
      <c r="D99" s="76">
        <f>(3951.9*6*0.94)+(3951.9*6*1.03)</f>
        <v>46711.458</v>
      </c>
      <c r="E99" s="48"/>
      <c r="F99" s="14" t="s">
        <v>787</v>
      </c>
    </row>
    <row r="100" spans="1:6" ht="12.75" customHeight="1">
      <c r="A100" s="125" t="s">
        <v>1350</v>
      </c>
      <c r="B100" s="126"/>
      <c r="C100" s="127"/>
      <c r="D100" s="76">
        <f>(3951.9*6*1.57)+(3951.9*6*1.75)</f>
        <v>78721.848</v>
      </c>
      <c r="E100" s="48"/>
      <c r="F100" s="14" t="s">
        <v>788</v>
      </c>
    </row>
    <row r="101" spans="1:6" ht="12.75" customHeight="1">
      <c r="A101" s="125" t="s">
        <v>1362</v>
      </c>
      <c r="B101" s="126"/>
      <c r="C101" s="127"/>
      <c r="D101" s="16">
        <f>10.3*(D103+D104)/100</f>
        <v>110635.24374000002</v>
      </c>
      <c r="E101" s="48"/>
      <c r="F101" s="14" t="s">
        <v>789</v>
      </c>
    </row>
    <row r="102" spans="1:6" ht="12.75" customHeight="1">
      <c r="A102" s="120" t="s">
        <v>1363</v>
      </c>
      <c r="B102" s="121"/>
      <c r="C102" s="122"/>
      <c r="D102" s="41">
        <f>D101+D100+D99+D6+D3</f>
        <v>745981.78474</v>
      </c>
      <c r="E102" s="48">
        <v>1</v>
      </c>
      <c r="F102" s="14" t="s">
        <v>790</v>
      </c>
    </row>
    <row r="103" spans="1:6" ht="12.75" customHeight="1">
      <c r="A103" s="114" t="s">
        <v>1364</v>
      </c>
      <c r="B103" s="115"/>
      <c r="C103" s="116"/>
      <c r="D103" s="18">
        <v>943715.88</v>
      </c>
      <c r="E103" s="48">
        <v>2</v>
      </c>
      <c r="F103" s="27"/>
    </row>
    <row r="104" spans="1:6" ht="12.75" customHeight="1">
      <c r="A104" s="114" t="s">
        <v>1365</v>
      </c>
      <c r="B104" s="115"/>
      <c r="C104" s="116"/>
      <c r="D104" s="18">
        <v>130412.7</v>
      </c>
      <c r="E104" s="48">
        <v>3</v>
      </c>
      <c r="F104" s="37" t="s">
        <v>1352</v>
      </c>
    </row>
    <row r="105" spans="1:6" ht="12.75" customHeight="1">
      <c r="A105" s="114" t="s">
        <v>2221</v>
      </c>
      <c r="B105" s="115"/>
      <c r="C105" s="116"/>
      <c r="D105" s="19">
        <f>1026311.92+D103</f>
        <v>1970027.8</v>
      </c>
      <c r="E105" s="48">
        <v>4</v>
      </c>
      <c r="F105" s="37" t="s">
        <v>791</v>
      </c>
    </row>
    <row r="106" spans="1:6" ht="13.5" customHeight="1">
      <c r="A106" s="114" t="s">
        <v>2222</v>
      </c>
      <c r="B106" s="115"/>
      <c r="C106" s="116"/>
      <c r="D106" s="19">
        <f>672153.63+D111</f>
        <v>1412151.1</v>
      </c>
      <c r="E106" s="48">
        <v>5</v>
      </c>
      <c r="F106" s="14" t="s">
        <v>843</v>
      </c>
    </row>
    <row r="107" spans="1:6" ht="25.5" customHeight="1">
      <c r="A107" s="120" t="s">
        <v>2223</v>
      </c>
      <c r="B107" s="121"/>
      <c r="C107" s="122"/>
      <c r="D107" s="42">
        <f>1108547.14+D102</f>
        <v>1854528.92474</v>
      </c>
      <c r="E107" s="48">
        <v>6</v>
      </c>
      <c r="F107" s="14" t="s">
        <v>844</v>
      </c>
    </row>
    <row r="108" spans="1:6" ht="12.75" customHeight="1">
      <c r="A108" s="114" t="s">
        <v>2224</v>
      </c>
      <c r="B108" s="115"/>
      <c r="C108" s="116"/>
      <c r="D108" s="19">
        <f>141715.4+D104</f>
        <v>272128.1</v>
      </c>
      <c r="E108" s="48">
        <v>7</v>
      </c>
      <c r="F108" s="14" t="s">
        <v>845</v>
      </c>
    </row>
    <row r="109" spans="1:6" ht="12.75" customHeight="1">
      <c r="A109" s="114" t="s">
        <v>2225</v>
      </c>
      <c r="B109" s="115"/>
      <c r="C109" s="116"/>
      <c r="D109" s="19">
        <f>92763.89+D112</f>
        <v>195024.61</v>
      </c>
      <c r="E109" s="48">
        <v>8</v>
      </c>
      <c r="F109" s="14" t="s">
        <v>787</v>
      </c>
    </row>
    <row r="110" spans="1:6" ht="12.75" customHeight="1">
      <c r="A110" s="120" t="s">
        <v>2226</v>
      </c>
      <c r="B110" s="121"/>
      <c r="C110" s="122"/>
      <c r="D110" s="42">
        <f>0+D113</f>
        <v>206380</v>
      </c>
      <c r="E110" s="48">
        <v>9</v>
      </c>
      <c r="F110" s="14" t="s">
        <v>846</v>
      </c>
    </row>
    <row r="111" spans="1:6" ht="12.75" customHeight="1">
      <c r="A111" s="114" t="s">
        <v>779</v>
      </c>
      <c r="B111" s="115"/>
      <c r="C111" s="116"/>
      <c r="D111" s="18">
        <v>739997.47</v>
      </c>
      <c r="E111" s="48">
        <v>10</v>
      </c>
      <c r="F111" s="14" t="s">
        <v>847</v>
      </c>
    </row>
    <row r="112" spans="1:6" ht="12.75" customHeight="1">
      <c r="A112" s="114" t="s">
        <v>780</v>
      </c>
      <c r="B112" s="115"/>
      <c r="C112" s="116"/>
      <c r="D112" s="18">
        <v>102260.72</v>
      </c>
      <c r="E112" s="48">
        <v>11</v>
      </c>
      <c r="F112" s="14" t="s">
        <v>848</v>
      </c>
    </row>
    <row r="113" spans="1:6" ht="12.75" customHeight="1">
      <c r="A113" s="120" t="s">
        <v>781</v>
      </c>
      <c r="B113" s="121"/>
      <c r="C113" s="122"/>
      <c r="D113" s="41">
        <f>D95</f>
        <v>206380</v>
      </c>
      <c r="E113" s="48">
        <v>12</v>
      </c>
      <c r="F113" s="43"/>
    </row>
    <row r="114" spans="1:6" ht="27" customHeight="1">
      <c r="A114" s="108" t="s">
        <v>782</v>
      </c>
      <c r="B114" s="109"/>
      <c r="C114" s="110"/>
      <c r="D114" s="26">
        <f>D105-D107</f>
        <v>115498.87526000012</v>
      </c>
      <c r="E114" s="48">
        <v>13</v>
      </c>
      <c r="F114" s="43"/>
    </row>
    <row r="115" spans="1:6" ht="25.5" customHeight="1">
      <c r="A115" s="108" t="s">
        <v>783</v>
      </c>
      <c r="B115" s="109"/>
      <c r="C115" s="110"/>
      <c r="D115" s="26">
        <f>D108-D110</f>
        <v>65748.09999999998</v>
      </c>
      <c r="E115" s="48">
        <v>14</v>
      </c>
      <c r="F115" s="43"/>
    </row>
    <row r="116" spans="1:6" ht="25.5" customHeight="1">
      <c r="A116" s="108" t="s">
        <v>718</v>
      </c>
      <c r="B116" s="109"/>
      <c r="C116" s="110"/>
      <c r="D116" s="26">
        <f>D106-D107</f>
        <v>-442377.82473999984</v>
      </c>
      <c r="E116" s="48">
        <v>15</v>
      </c>
      <c r="F116" s="43"/>
    </row>
    <row r="117" ht="12.75">
      <c r="F117" s="43"/>
    </row>
  </sheetData>
  <sheetProtection/>
  <mergeCells count="30">
    <mergeCell ref="A107:C107"/>
    <mergeCell ref="A103:C103"/>
    <mergeCell ref="A101:C101"/>
    <mergeCell ref="A102:C102"/>
    <mergeCell ref="A108:C108"/>
    <mergeCell ref="A110:C110"/>
    <mergeCell ref="A113:C113"/>
    <mergeCell ref="A114:C114"/>
    <mergeCell ref="A3:C3"/>
    <mergeCell ref="A4:C4"/>
    <mergeCell ref="A62:C62"/>
    <mergeCell ref="A6:C6"/>
    <mergeCell ref="A112:C112"/>
    <mergeCell ref="A111:C111"/>
    <mergeCell ref="A116:C116"/>
    <mergeCell ref="A7:C7"/>
    <mergeCell ref="A59:C59"/>
    <mergeCell ref="A104:C104"/>
    <mergeCell ref="A105:C105"/>
    <mergeCell ref="A64:C64"/>
    <mergeCell ref="A93:C93"/>
    <mergeCell ref="A86:C86"/>
    <mergeCell ref="A115:C115"/>
    <mergeCell ref="A109:C109"/>
    <mergeCell ref="A100:C100"/>
    <mergeCell ref="A77:C77"/>
    <mergeCell ref="A95:C95"/>
    <mergeCell ref="A99:C99"/>
    <mergeCell ref="A106:C106"/>
    <mergeCell ref="A1:D1"/>
  </mergeCells>
  <printOptions/>
  <pageMargins left="0.24" right="0.19" top="0.3" bottom="0.17" header="0.3" footer="0.3"/>
  <pageSetup horizontalDpi="600" verticalDpi="600" orientation="portrait" paperSize="9" r:id="rId1"/>
  <ignoredErrors>
    <ignoredError sqref="D7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2" sqref="A1:D72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thickBot="1">
      <c r="A1" s="106" t="s">
        <v>1573</v>
      </c>
      <c r="B1" s="107"/>
      <c r="C1" s="107"/>
      <c r="D1" s="107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402732</v>
      </c>
      <c r="E3" s="45"/>
    </row>
    <row r="4" spans="1:5" ht="12.75" outlineLevel="1">
      <c r="A4" s="117" t="s">
        <v>1354</v>
      </c>
      <c r="B4" s="118"/>
      <c r="C4" s="119"/>
      <c r="D4" s="28">
        <f>SUM(D5:D7)</f>
        <v>402732</v>
      </c>
      <c r="E4" s="46"/>
    </row>
    <row r="5" spans="1:5" ht="12.75" outlineLevel="2">
      <c r="A5" s="7" t="s">
        <v>480</v>
      </c>
      <c r="B5" s="29" t="s">
        <v>1951</v>
      </c>
      <c r="C5" s="13" t="s">
        <v>481</v>
      </c>
      <c r="D5" s="30">
        <v>97631</v>
      </c>
      <c r="E5" s="46"/>
    </row>
    <row r="6" spans="1:5" ht="12.75" outlineLevel="2">
      <c r="A6" s="7" t="s">
        <v>480</v>
      </c>
      <c r="B6" s="29" t="s">
        <v>1951</v>
      </c>
      <c r="C6" s="13" t="s">
        <v>482</v>
      </c>
      <c r="D6" s="30">
        <v>81417</v>
      </c>
      <c r="E6" s="46"/>
    </row>
    <row r="7" spans="1:5" ht="12.75" outlineLevel="2">
      <c r="A7" s="51" t="s">
        <v>75</v>
      </c>
      <c r="B7" s="52" t="s">
        <v>1959</v>
      </c>
      <c r="C7" s="63" t="s">
        <v>76</v>
      </c>
      <c r="D7" s="30">
        <v>223684</v>
      </c>
      <c r="E7" s="46"/>
    </row>
    <row r="8" spans="1:5" ht="13.5" customHeight="1" thickBot="1">
      <c r="A8" s="124" t="s">
        <v>1343</v>
      </c>
      <c r="B8" s="124"/>
      <c r="C8" s="124"/>
      <c r="D8" s="25">
        <f>D9+D27+D30+D43+D46+D54+D55</f>
        <v>431954.08400000003</v>
      </c>
      <c r="E8" s="45"/>
    </row>
    <row r="9" spans="1:5" ht="13.5" outlineLevel="1" thickTop="1">
      <c r="A9" s="111" t="s">
        <v>1354</v>
      </c>
      <c r="B9" s="112"/>
      <c r="C9" s="113"/>
      <c r="D9" s="28">
        <f>SUM(D10:D26)</f>
        <v>81540.18000000001</v>
      </c>
      <c r="E9" s="46"/>
    </row>
    <row r="10" spans="1:5" ht="25.5" outlineLevel="2">
      <c r="A10" s="7" t="s">
        <v>1125</v>
      </c>
      <c r="B10" s="29" t="s">
        <v>849</v>
      </c>
      <c r="C10" s="7" t="s">
        <v>1124</v>
      </c>
      <c r="D10" s="30">
        <v>23460</v>
      </c>
      <c r="E10" s="46"/>
    </row>
    <row r="11" spans="1:5" ht="12.75" outlineLevel="2">
      <c r="A11" s="7" t="s">
        <v>1744</v>
      </c>
      <c r="B11" s="29" t="s">
        <v>849</v>
      </c>
      <c r="C11" s="7" t="s">
        <v>1748</v>
      </c>
      <c r="D11" s="30">
        <v>280</v>
      </c>
      <c r="E11" s="46"/>
    </row>
    <row r="12" spans="1:5" ht="12.75" outlineLevel="2">
      <c r="A12" s="7" t="s">
        <v>1744</v>
      </c>
      <c r="B12" s="29" t="s">
        <v>849</v>
      </c>
      <c r="C12" s="7" t="s">
        <v>1753</v>
      </c>
      <c r="D12" s="30">
        <v>2938</v>
      </c>
      <c r="E12" s="46"/>
    </row>
    <row r="13" spans="1:5" ht="12.75" outlineLevel="2">
      <c r="A13" s="7" t="s">
        <v>2165</v>
      </c>
      <c r="B13" s="29" t="s">
        <v>849</v>
      </c>
      <c r="C13" s="7" t="s">
        <v>2166</v>
      </c>
      <c r="D13" s="30">
        <v>2754</v>
      </c>
      <c r="E13" s="46"/>
    </row>
    <row r="14" spans="1:5" ht="12.75" outlineLevel="2">
      <c r="A14" s="7" t="s">
        <v>101</v>
      </c>
      <c r="B14" s="29" t="s">
        <v>1951</v>
      </c>
      <c r="C14" s="7" t="s">
        <v>105</v>
      </c>
      <c r="D14" s="30">
        <v>812</v>
      </c>
      <c r="E14" s="46"/>
    </row>
    <row r="15" spans="1:5" ht="12.75" outlineLevel="2">
      <c r="A15" s="7" t="s">
        <v>32</v>
      </c>
      <c r="B15" s="29" t="s">
        <v>1951</v>
      </c>
      <c r="C15" s="7" t="s">
        <v>33</v>
      </c>
      <c r="D15" s="30">
        <v>10431</v>
      </c>
      <c r="E15" s="46"/>
    </row>
    <row r="16" spans="1:5" ht="25.5" outlineLevel="2">
      <c r="A16" s="7" t="s">
        <v>362</v>
      </c>
      <c r="B16" s="29" t="s">
        <v>1951</v>
      </c>
      <c r="C16" s="7" t="s">
        <v>363</v>
      </c>
      <c r="D16" s="30">
        <v>16375</v>
      </c>
      <c r="E16" s="46"/>
    </row>
    <row r="17" spans="1:5" ht="12.75" outlineLevel="2">
      <c r="A17" s="51" t="s">
        <v>1670</v>
      </c>
      <c r="B17" s="52" t="s">
        <v>1952</v>
      </c>
      <c r="C17" s="51" t="s">
        <v>1671</v>
      </c>
      <c r="D17" s="30">
        <v>1344</v>
      </c>
      <c r="E17" s="46"/>
    </row>
    <row r="18" spans="1:5" ht="12.75" outlineLevel="2">
      <c r="A18" s="7" t="s">
        <v>1678</v>
      </c>
      <c r="B18" s="29" t="s">
        <v>1952</v>
      </c>
      <c r="C18" s="7" t="s">
        <v>1679</v>
      </c>
      <c r="D18" s="30">
        <v>4820</v>
      </c>
      <c r="E18" s="46"/>
    </row>
    <row r="19" spans="1:5" ht="12.75" outlineLevel="2">
      <c r="A19" s="7" t="s">
        <v>552</v>
      </c>
      <c r="B19" s="29" t="s">
        <v>1952</v>
      </c>
      <c r="C19" s="7" t="s">
        <v>553</v>
      </c>
      <c r="D19" s="30">
        <v>405</v>
      </c>
      <c r="E19" s="46"/>
    </row>
    <row r="20" spans="1:5" ht="12.75" outlineLevel="2">
      <c r="A20" s="7" t="s">
        <v>554</v>
      </c>
      <c r="B20" s="29" t="s">
        <v>1952</v>
      </c>
      <c r="C20" s="7" t="s">
        <v>553</v>
      </c>
      <c r="D20" s="30">
        <v>630</v>
      </c>
      <c r="E20" s="46"/>
    </row>
    <row r="21" spans="1:5" ht="12.75" outlineLevel="2">
      <c r="A21" s="7" t="s">
        <v>2288</v>
      </c>
      <c r="B21" s="29" t="s">
        <v>1953</v>
      </c>
      <c r="C21" s="7" t="s">
        <v>2289</v>
      </c>
      <c r="D21" s="30">
        <v>2627</v>
      </c>
      <c r="E21" s="46"/>
    </row>
    <row r="22" spans="1:5" ht="25.5" outlineLevel="2">
      <c r="A22" s="7" t="s">
        <v>2404</v>
      </c>
      <c r="B22" s="29" t="s">
        <v>1953</v>
      </c>
      <c r="C22" s="7" t="s">
        <v>2405</v>
      </c>
      <c r="D22" s="30">
        <v>11655</v>
      </c>
      <c r="E22" s="46"/>
    </row>
    <row r="23" spans="1:5" ht="12.75" outlineLevel="2">
      <c r="A23" s="8" t="s">
        <v>2656</v>
      </c>
      <c r="B23" s="29" t="s">
        <v>1954</v>
      </c>
      <c r="C23" s="7" t="s">
        <v>2657</v>
      </c>
      <c r="D23" s="31">
        <v>498</v>
      </c>
      <c r="E23" s="46"/>
    </row>
    <row r="24" spans="1:5" ht="12.75" outlineLevel="2">
      <c r="A24" s="8" t="s">
        <v>567</v>
      </c>
      <c r="B24" s="29" t="s">
        <v>1954</v>
      </c>
      <c r="C24" s="7" t="s">
        <v>2767</v>
      </c>
      <c r="D24" s="31">
        <v>449.38</v>
      </c>
      <c r="E24" s="46"/>
    </row>
    <row r="25" spans="1:5" ht="12.75" outlineLevel="2">
      <c r="A25" s="8" t="s">
        <v>2772</v>
      </c>
      <c r="B25" s="29" t="s">
        <v>1954</v>
      </c>
      <c r="C25" s="7" t="s">
        <v>2771</v>
      </c>
      <c r="D25" s="31">
        <v>378.8</v>
      </c>
      <c r="E25" s="46"/>
    </row>
    <row r="26" spans="1:5" ht="12.75" outlineLevel="2">
      <c r="A26" s="8" t="s">
        <v>167</v>
      </c>
      <c r="B26" s="29" t="s">
        <v>1955</v>
      </c>
      <c r="C26" s="7" t="s">
        <v>168</v>
      </c>
      <c r="D26" s="31">
        <v>1683</v>
      </c>
      <c r="E26" s="46"/>
    </row>
    <row r="27" spans="1:5" ht="12" customHeight="1" outlineLevel="1">
      <c r="A27" s="117" t="s">
        <v>1342</v>
      </c>
      <c r="B27" s="118"/>
      <c r="C27" s="119"/>
      <c r="D27" s="28">
        <f>SUM(D28:D29)</f>
        <v>39047</v>
      </c>
      <c r="E27" s="46"/>
    </row>
    <row r="28" spans="1:5" ht="12.75" outlineLevel="2">
      <c r="A28" s="7" t="s">
        <v>2688</v>
      </c>
      <c r="B28" s="29" t="s">
        <v>1954</v>
      </c>
      <c r="C28" s="7" t="s">
        <v>2687</v>
      </c>
      <c r="D28" s="30">
        <v>33445</v>
      </c>
      <c r="E28" s="46"/>
    </row>
    <row r="29" spans="1:5" ht="12.75" outlineLevel="2">
      <c r="A29" s="7" t="s">
        <v>1027</v>
      </c>
      <c r="B29" s="29" t="s">
        <v>1955</v>
      </c>
      <c r="C29" s="7" t="s">
        <v>1028</v>
      </c>
      <c r="D29" s="30">
        <v>5602</v>
      </c>
      <c r="E29" s="46"/>
    </row>
    <row r="30" spans="1:5" ht="12.75" customHeight="1" outlineLevel="1">
      <c r="A30" s="117" t="s">
        <v>1344</v>
      </c>
      <c r="B30" s="118"/>
      <c r="C30" s="119"/>
      <c r="D30" s="28">
        <f>SUM(D31:D42)</f>
        <v>160246.13999999998</v>
      </c>
      <c r="E30" s="46"/>
    </row>
    <row r="31" spans="1:5" ht="12.75" outlineLevel="2">
      <c r="A31" s="7"/>
      <c r="B31" s="29" t="s">
        <v>849</v>
      </c>
      <c r="C31" s="7" t="s">
        <v>1950</v>
      </c>
      <c r="D31" s="30">
        <f>3151.75+2788.08+1375.05+3253.17+1408.59+871.98</f>
        <v>12848.619999999999</v>
      </c>
      <c r="E31" s="46"/>
    </row>
    <row r="32" spans="1:5" ht="12.75" outlineLevel="2">
      <c r="A32" s="7"/>
      <c r="B32" s="29" t="s">
        <v>1951</v>
      </c>
      <c r="C32" s="7" t="s">
        <v>1950</v>
      </c>
      <c r="D32" s="30">
        <f>3192.15+2230.47+1656.69+3919.48+1697.09+1050.58</f>
        <v>13746.46</v>
      </c>
      <c r="E32" s="46"/>
    </row>
    <row r="33" spans="1:5" ht="12.75" outlineLevel="2">
      <c r="A33" s="7"/>
      <c r="B33" s="29" t="s">
        <v>1952</v>
      </c>
      <c r="C33" s="7" t="s">
        <v>1950</v>
      </c>
      <c r="D33" s="30">
        <f>3192.15+2230.47+1656.69+3919.48+1697.09+1050.58+242.44</f>
        <v>13988.9</v>
      </c>
      <c r="E33" s="46"/>
    </row>
    <row r="34" spans="1:5" ht="12.75" outlineLevel="2">
      <c r="A34" s="7"/>
      <c r="B34" s="29" t="s">
        <v>1953</v>
      </c>
      <c r="C34" s="7" t="s">
        <v>1950</v>
      </c>
      <c r="D34" s="30">
        <f>3032.55+2464.83+3959.08+1228.37+651.36+242.44</f>
        <v>11578.63</v>
      </c>
      <c r="E34" s="46"/>
    </row>
    <row r="35" spans="1:5" ht="12.75" outlineLevel="2">
      <c r="A35" s="7"/>
      <c r="B35" s="29" t="s">
        <v>1954</v>
      </c>
      <c r="C35" s="7" t="s">
        <v>1950</v>
      </c>
      <c r="D35" s="30">
        <f>3032.55+2141.57+5495.35+1495.06+1010.18+230.32</f>
        <v>13405.03</v>
      </c>
      <c r="E35" s="46"/>
    </row>
    <row r="36" spans="1:5" ht="12.75" outlineLevel="2">
      <c r="A36" s="7"/>
      <c r="B36" s="29" t="s">
        <v>1955</v>
      </c>
      <c r="C36" s="7" t="s">
        <v>1950</v>
      </c>
      <c r="D36" s="30">
        <f>1596.08+1070.79+2788.08+747.53+505.09</f>
        <v>6707.57</v>
      </c>
      <c r="E36" s="46"/>
    </row>
    <row r="37" spans="1:5" ht="12.75" outlineLevel="2">
      <c r="A37" s="7"/>
      <c r="B37" s="29" t="s">
        <v>1956</v>
      </c>
      <c r="C37" s="7" t="s">
        <v>1950</v>
      </c>
      <c r="D37" s="16">
        <f>2097.93+1907.2+6222.68+1377.88+1131.4</f>
        <v>12737.090000000002</v>
      </c>
      <c r="E37" s="46"/>
    </row>
    <row r="38" spans="1:5" ht="12.75" outlineLevel="2">
      <c r="A38" s="7"/>
      <c r="B38" s="29" t="s">
        <v>1957</v>
      </c>
      <c r="C38" s="7" t="s">
        <v>1950</v>
      </c>
      <c r="D38" s="16">
        <f>3555.82+2384.01+6222.68+1377.88+1131.4</f>
        <v>14671.789999999999</v>
      </c>
      <c r="E38" s="46"/>
    </row>
    <row r="39" spans="1:5" ht="12.75" outlineLevel="2">
      <c r="A39" s="7"/>
      <c r="B39" s="29" t="s">
        <v>1958</v>
      </c>
      <c r="C39" s="7" t="s">
        <v>1950</v>
      </c>
      <c r="D39" s="16">
        <f>3555.82+2384.01+6222.68+1377.88+1131.4</f>
        <v>14671.789999999999</v>
      </c>
      <c r="E39" s="46"/>
    </row>
    <row r="40" spans="1:5" ht="12.75" outlineLevel="2">
      <c r="A40" s="7"/>
      <c r="B40" s="29" t="s">
        <v>1959</v>
      </c>
      <c r="C40" s="7" t="s">
        <v>1950</v>
      </c>
      <c r="D40" s="30">
        <f>3555.82+2384.01+6222.68+1377.88+1131.4</f>
        <v>14671.789999999999</v>
      </c>
      <c r="E40" s="46"/>
    </row>
    <row r="41" spans="1:5" ht="12.75" outlineLevel="2">
      <c r="A41" s="7"/>
      <c r="B41" s="29" t="s">
        <v>1960</v>
      </c>
      <c r="C41" s="7" t="s">
        <v>1950</v>
      </c>
      <c r="D41" s="30">
        <f>3555.82+3111.34+1858.72+4363.96+1899.13+1131.4</f>
        <v>15920.37</v>
      </c>
      <c r="E41" s="46"/>
    </row>
    <row r="42" spans="1:5" ht="12.75" outlineLevel="2">
      <c r="A42" s="11"/>
      <c r="B42" s="29" t="s">
        <v>1961</v>
      </c>
      <c r="C42" s="7" t="s">
        <v>1950</v>
      </c>
      <c r="D42" s="30">
        <f>3555.82+2489.07+1858.72+4363.96+1899.13+1131.4</f>
        <v>15298.1</v>
      </c>
      <c r="E42" s="46"/>
    </row>
    <row r="43" spans="1:5" ht="12.75" customHeight="1" outlineLevel="1">
      <c r="A43" s="117" t="s">
        <v>1346</v>
      </c>
      <c r="B43" s="118"/>
      <c r="C43" s="119"/>
      <c r="D43" s="28">
        <f>SUM(D44:D45)</f>
        <v>32011</v>
      </c>
      <c r="E43" s="46"/>
    </row>
    <row r="44" spans="1:5" ht="12.75" outlineLevel="2">
      <c r="A44" s="7" t="s">
        <v>1976</v>
      </c>
      <c r="B44" s="29" t="s">
        <v>849</v>
      </c>
      <c r="C44" s="7" t="s">
        <v>1977</v>
      </c>
      <c r="D44" s="30">
        <v>1170</v>
      </c>
      <c r="E44" s="46"/>
    </row>
    <row r="45" spans="1:5" ht="12.75" outlineLevel="2">
      <c r="A45" s="7" t="s">
        <v>2406</v>
      </c>
      <c r="B45" s="29" t="s">
        <v>1953</v>
      </c>
      <c r="C45" s="7" t="s">
        <v>1307</v>
      </c>
      <c r="D45" s="30">
        <v>30841</v>
      </c>
      <c r="E45" s="46"/>
    </row>
    <row r="46" spans="1:5" ht="12.75" customHeight="1" outlineLevel="1">
      <c r="A46" s="117" t="s">
        <v>1341</v>
      </c>
      <c r="B46" s="118"/>
      <c r="C46" s="119"/>
      <c r="D46" s="28">
        <f>SUM(D47:D53)</f>
        <v>52023.14</v>
      </c>
      <c r="E46" s="46"/>
    </row>
    <row r="47" spans="1:5" ht="12.75" outlineLevel="2">
      <c r="A47" s="7" t="s">
        <v>862</v>
      </c>
      <c r="B47" s="29" t="s">
        <v>849</v>
      </c>
      <c r="C47" s="7" t="s">
        <v>863</v>
      </c>
      <c r="D47" s="30">
        <v>585</v>
      </c>
      <c r="E47" s="46"/>
    </row>
    <row r="48" spans="1:5" ht="12.75" outlineLevel="2">
      <c r="A48" s="7" t="s">
        <v>1722</v>
      </c>
      <c r="B48" s="29" t="s">
        <v>849</v>
      </c>
      <c r="C48" s="7" t="s">
        <v>1723</v>
      </c>
      <c r="D48" s="30">
        <v>19541</v>
      </c>
      <c r="E48" s="46"/>
    </row>
    <row r="49" spans="1:5" ht="12.75" outlineLevel="2">
      <c r="A49" s="7" t="s">
        <v>1740</v>
      </c>
      <c r="B49" s="29" t="s">
        <v>849</v>
      </c>
      <c r="C49" s="7" t="s">
        <v>1739</v>
      </c>
      <c r="D49" s="30">
        <v>1117</v>
      </c>
      <c r="E49" s="46"/>
    </row>
    <row r="50" spans="1:5" ht="12.75" outlineLevel="2">
      <c r="A50" s="7" t="s">
        <v>517</v>
      </c>
      <c r="B50" s="29" t="s">
        <v>1952</v>
      </c>
      <c r="C50" s="7" t="s">
        <v>518</v>
      </c>
      <c r="D50" s="30">
        <v>528</v>
      </c>
      <c r="E50" s="46"/>
    </row>
    <row r="51" spans="1:5" ht="12.75" outlineLevel="2">
      <c r="A51" s="7" t="s">
        <v>2535</v>
      </c>
      <c r="B51" s="29" t="s">
        <v>1953</v>
      </c>
      <c r="C51" s="7" t="s">
        <v>2536</v>
      </c>
      <c r="D51" s="30">
        <v>3411</v>
      </c>
      <c r="E51" s="46"/>
    </row>
    <row r="52" spans="1:5" ht="12.75" outlineLevel="2">
      <c r="A52" s="7" t="s">
        <v>218</v>
      </c>
      <c r="B52" s="29" t="s">
        <v>1961</v>
      </c>
      <c r="C52" s="7" t="s">
        <v>1385</v>
      </c>
      <c r="D52" s="30">
        <v>351.88</v>
      </c>
      <c r="E52" s="46"/>
    </row>
    <row r="53" spans="1:5" ht="12.75" outlineLevel="2">
      <c r="A53" s="7" t="s">
        <v>1420</v>
      </c>
      <c r="B53" s="29" t="s">
        <v>1961</v>
      </c>
      <c r="C53" s="7" t="s">
        <v>1421</v>
      </c>
      <c r="D53" s="30">
        <v>26489.26</v>
      </c>
      <c r="E53" s="46"/>
    </row>
    <row r="54" spans="1:6" ht="12.75">
      <c r="A54" s="6">
        <v>4110.7</v>
      </c>
      <c r="B54" s="6" t="s">
        <v>1356</v>
      </c>
      <c r="C54" s="37" t="s">
        <v>1345</v>
      </c>
      <c r="D54" s="23">
        <f>(4110.7*6*1.46)+(4110.7*4*1.63)</f>
        <v>62811.49599999999</v>
      </c>
      <c r="E54" s="46"/>
      <c r="F54" s="37" t="s">
        <v>1352</v>
      </c>
    </row>
    <row r="55" spans="1:6" ht="12.75">
      <c r="A55" s="6">
        <v>4110.7</v>
      </c>
      <c r="B55" s="6" t="s">
        <v>1356</v>
      </c>
      <c r="C55" s="37" t="s">
        <v>1357</v>
      </c>
      <c r="D55" s="23">
        <f>(4110.7*6*0.1)+(4110.7*4*0.11)</f>
        <v>4275.128</v>
      </c>
      <c r="E55" s="46"/>
      <c r="F55" s="37" t="s">
        <v>1351</v>
      </c>
    </row>
    <row r="56" spans="1:6" ht="12.75" customHeight="1">
      <c r="A56" s="125" t="s">
        <v>1350</v>
      </c>
      <c r="B56" s="126"/>
      <c r="C56" s="127"/>
      <c r="D56" s="76">
        <f>(4110.7*6*1.57)+(4110.7*4*1.75)</f>
        <v>67497.69399999999</v>
      </c>
      <c r="E56" s="48"/>
      <c r="F56" s="14" t="s">
        <v>788</v>
      </c>
    </row>
    <row r="57" spans="1:6" ht="12.75" customHeight="1">
      <c r="A57" s="125" t="s">
        <v>1362</v>
      </c>
      <c r="B57" s="126"/>
      <c r="C57" s="127"/>
      <c r="D57" s="16">
        <f>10.3*(D59+D60)/100</f>
        <v>89601.88463000002</v>
      </c>
      <c r="E57" s="48"/>
      <c r="F57" s="14" t="s">
        <v>789</v>
      </c>
    </row>
    <row r="58" spans="1:6" ht="12.75" customHeight="1">
      <c r="A58" s="120" t="s">
        <v>1363</v>
      </c>
      <c r="B58" s="121"/>
      <c r="C58" s="122"/>
      <c r="D58" s="41">
        <f>D57+D56+D8+D3</f>
        <v>991785.66263</v>
      </c>
      <c r="E58" s="48">
        <v>1</v>
      </c>
      <c r="F58" s="14" t="s">
        <v>790</v>
      </c>
    </row>
    <row r="59" spans="1:6" ht="12.75" customHeight="1">
      <c r="A59" s="114" t="s">
        <v>1364</v>
      </c>
      <c r="B59" s="115"/>
      <c r="C59" s="116"/>
      <c r="D59" s="18">
        <f>758995.05</f>
        <v>758995.05</v>
      </c>
      <c r="E59" s="48">
        <v>2</v>
      </c>
      <c r="F59" s="27"/>
    </row>
    <row r="60" spans="1:6" ht="12.75" customHeight="1">
      <c r="A60" s="114" t="s">
        <v>1365</v>
      </c>
      <c r="B60" s="115"/>
      <c r="C60" s="116"/>
      <c r="D60" s="18">
        <v>110926.16</v>
      </c>
      <c r="E60" s="48">
        <v>3</v>
      </c>
      <c r="F60" s="37" t="s">
        <v>1352</v>
      </c>
    </row>
    <row r="61" spans="1:6" ht="12.75" customHeight="1">
      <c r="A61" s="114" t="s">
        <v>2221</v>
      </c>
      <c r="B61" s="115"/>
      <c r="C61" s="116"/>
      <c r="D61" s="19">
        <f>929762.76+D59</f>
        <v>1688757.81</v>
      </c>
      <c r="E61" s="48">
        <v>4</v>
      </c>
      <c r="F61" s="37" t="s">
        <v>791</v>
      </c>
    </row>
    <row r="62" spans="1:6" ht="13.5" customHeight="1">
      <c r="A62" s="114" t="s">
        <v>2222</v>
      </c>
      <c r="B62" s="115"/>
      <c r="C62" s="116"/>
      <c r="D62" s="19">
        <f>169920.14+D67</f>
        <v>310796.73</v>
      </c>
      <c r="E62" s="48">
        <v>5</v>
      </c>
      <c r="F62" s="14" t="s">
        <v>843</v>
      </c>
    </row>
    <row r="63" spans="1:6" ht="25.5" customHeight="1">
      <c r="A63" s="120" t="s">
        <v>2223</v>
      </c>
      <c r="B63" s="121"/>
      <c r="C63" s="122"/>
      <c r="D63" s="42">
        <f>690680.27+D58</f>
        <v>1682465.9326300002</v>
      </c>
      <c r="E63" s="48">
        <v>6</v>
      </c>
      <c r="F63" s="14" t="s">
        <v>844</v>
      </c>
    </row>
    <row r="64" spans="1:6" ht="12.75" customHeight="1">
      <c r="A64" s="114" t="s">
        <v>2224</v>
      </c>
      <c r="B64" s="115"/>
      <c r="C64" s="116"/>
      <c r="D64" s="19">
        <f>136819.4+D60</f>
        <v>247745.56</v>
      </c>
      <c r="E64" s="48">
        <v>7</v>
      </c>
      <c r="F64" s="14" t="s">
        <v>845</v>
      </c>
    </row>
    <row r="65" spans="1:6" ht="12.75" customHeight="1">
      <c r="A65" s="114" t="s">
        <v>2225</v>
      </c>
      <c r="B65" s="115"/>
      <c r="C65" s="116"/>
      <c r="D65" s="19">
        <f>25004.33+D68</f>
        <v>45593.23</v>
      </c>
      <c r="E65" s="48">
        <v>8</v>
      </c>
      <c r="F65" s="14" t="s">
        <v>787</v>
      </c>
    </row>
    <row r="66" spans="1:6" ht="12.75" customHeight="1">
      <c r="A66" s="120" t="s">
        <v>2226</v>
      </c>
      <c r="B66" s="121"/>
      <c r="C66" s="122"/>
      <c r="D66" s="42">
        <f>220002+D69</f>
        <v>220002</v>
      </c>
      <c r="E66" s="48">
        <v>9</v>
      </c>
      <c r="F66" s="14" t="s">
        <v>846</v>
      </c>
    </row>
    <row r="67" spans="1:6" ht="12.75" customHeight="1">
      <c r="A67" s="114" t="s">
        <v>779</v>
      </c>
      <c r="B67" s="115"/>
      <c r="C67" s="116"/>
      <c r="D67" s="18">
        <v>140876.59</v>
      </c>
      <c r="E67" s="48">
        <v>10</v>
      </c>
      <c r="F67" s="14" t="s">
        <v>847</v>
      </c>
    </row>
    <row r="68" spans="1:6" ht="12.75" customHeight="1">
      <c r="A68" s="114" t="s">
        <v>780</v>
      </c>
      <c r="B68" s="115"/>
      <c r="C68" s="116"/>
      <c r="D68" s="18">
        <v>20588.9</v>
      </c>
      <c r="E68" s="48">
        <v>11</v>
      </c>
      <c r="F68" s="14" t="s">
        <v>848</v>
      </c>
    </row>
    <row r="69" spans="1:6" ht="12.75" customHeight="1">
      <c r="A69" s="120" t="s">
        <v>781</v>
      </c>
      <c r="B69" s="121"/>
      <c r="C69" s="122"/>
      <c r="D69" s="41">
        <v>0</v>
      </c>
      <c r="E69" s="48">
        <v>12</v>
      </c>
      <c r="F69" s="43"/>
    </row>
    <row r="70" spans="1:6" ht="27" customHeight="1">
      <c r="A70" s="108" t="s">
        <v>782</v>
      </c>
      <c r="B70" s="109"/>
      <c r="C70" s="110"/>
      <c r="D70" s="26">
        <f>D61-D63</f>
        <v>6291.877369999886</v>
      </c>
      <c r="E70" s="48">
        <v>13</v>
      </c>
      <c r="F70" s="43"/>
    </row>
    <row r="71" spans="1:6" ht="25.5" customHeight="1">
      <c r="A71" s="108" t="s">
        <v>783</v>
      </c>
      <c r="B71" s="109"/>
      <c r="C71" s="110"/>
      <c r="D71" s="26">
        <f>D64-D66</f>
        <v>27743.559999999998</v>
      </c>
      <c r="E71" s="48">
        <v>14</v>
      </c>
      <c r="F71" s="43"/>
    </row>
    <row r="72" spans="1:6" ht="25.5" customHeight="1">
      <c r="A72" s="108" t="s">
        <v>718</v>
      </c>
      <c r="B72" s="109"/>
      <c r="C72" s="110"/>
      <c r="D72" s="26">
        <f>D62-D63</f>
        <v>-1371669.2026300002</v>
      </c>
      <c r="E72" s="48">
        <v>15</v>
      </c>
      <c r="F72" s="43"/>
    </row>
    <row r="73" ht="12.75">
      <c r="F73" s="43"/>
    </row>
  </sheetData>
  <sheetProtection/>
  <mergeCells count="26">
    <mergeCell ref="A71:C71"/>
    <mergeCell ref="A72:C72"/>
    <mergeCell ref="A67:C67"/>
    <mergeCell ref="A68:C68"/>
    <mergeCell ref="A69:C69"/>
    <mergeCell ref="A70:C70"/>
    <mergeCell ref="A65:C65"/>
    <mergeCell ref="A66:C66"/>
    <mergeCell ref="A57:C57"/>
    <mergeCell ref="A58:C58"/>
    <mergeCell ref="A61:C61"/>
    <mergeCell ref="A62:C62"/>
    <mergeCell ref="A59:C59"/>
    <mergeCell ref="A60:C60"/>
    <mergeCell ref="A63:C63"/>
    <mergeCell ref="A64:C64"/>
    <mergeCell ref="A1:D1"/>
    <mergeCell ref="A56:C56"/>
    <mergeCell ref="A3:C3"/>
    <mergeCell ref="A4:C4"/>
    <mergeCell ref="A8:C8"/>
    <mergeCell ref="A9:C9"/>
    <mergeCell ref="A46:C46"/>
    <mergeCell ref="A27:C27"/>
    <mergeCell ref="A30:C30"/>
    <mergeCell ref="A43:C43"/>
  </mergeCells>
  <printOptions/>
  <pageMargins left="0.27" right="0.18" top="0.74" bottom="0.23" header="0.78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13" sqref="A1:D113"/>
    </sheetView>
  </sheetViews>
  <sheetFormatPr defaultColWidth="13.421875" defaultRowHeight="12.75" outlineLevelRow="2"/>
  <cols>
    <col min="1" max="1" width="16.140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thickBot="1">
      <c r="A1" s="135" t="s">
        <v>214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38761.3</v>
      </c>
      <c r="E3" s="45"/>
    </row>
    <row r="4" spans="1:5" ht="12.75" outlineLevel="1">
      <c r="A4" s="117" t="s">
        <v>1355</v>
      </c>
      <c r="B4" s="118"/>
      <c r="C4" s="119"/>
      <c r="D4" s="28">
        <f>SUM(D5:D6)</f>
        <v>38761.3</v>
      </c>
      <c r="E4" s="46"/>
    </row>
    <row r="5" spans="1:5" ht="12.75" outlineLevel="2">
      <c r="A5" s="51" t="s">
        <v>65</v>
      </c>
      <c r="B5" s="52" t="s">
        <v>1956</v>
      </c>
      <c r="C5" s="63" t="s">
        <v>66</v>
      </c>
      <c r="D5" s="30">
        <v>33333.3</v>
      </c>
      <c r="E5" s="46"/>
    </row>
    <row r="6" spans="1:5" ht="12.75" outlineLevel="2">
      <c r="A6" s="51" t="s">
        <v>82</v>
      </c>
      <c r="B6" s="52" t="s">
        <v>1959</v>
      </c>
      <c r="C6" s="63" t="s">
        <v>84</v>
      </c>
      <c r="D6" s="30">
        <v>5428</v>
      </c>
      <c r="E6" s="46"/>
    </row>
    <row r="7" spans="1:5" ht="13.5" customHeight="1" thickBot="1">
      <c r="A7" s="124" t="s">
        <v>1343</v>
      </c>
      <c r="B7" s="124"/>
      <c r="C7" s="124"/>
      <c r="D7" s="25">
        <f>D8+D49+D51+D55+D68+D73+D84+D87+D92+D94+D95</f>
        <v>1134822.72</v>
      </c>
      <c r="E7" s="45"/>
    </row>
    <row r="8" spans="1:5" ht="13.5" thickTop="1">
      <c r="A8" s="111" t="s">
        <v>1354</v>
      </c>
      <c r="B8" s="112"/>
      <c r="C8" s="113"/>
      <c r="D8" s="28">
        <f>SUM(D9:D48)</f>
        <v>149355.53</v>
      </c>
      <c r="E8" s="46"/>
    </row>
    <row r="9" spans="1:5" ht="12.75" outlineLevel="1">
      <c r="A9" s="7" t="s">
        <v>1744</v>
      </c>
      <c r="B9" s="29" t="s">
        <v>849</v>
      </c>
      <c r="C9" s="7" t="s">
        <v>1747</v>
      </c>
      <c r="D9" s="30">
        <v>468</v>
      </c>
      <c r="E9" s="46"/>
    </row>
    <row r="10" spans="1:5" ht="12.75" outlineLevel="1">
      <c r="A10" s="7" t="s">
        <v>1781</v>
      </c>
      <c r="B10" s="29" t="s">
        <v>849</v>
      </c>
      <c r="C10" s="7" t="s">
        <v>1782</v>
      </c>
      <c r="D10" s="30">
        <v>5218</v>
      </c>
      <c r="E10" s="46"/>
    </row>
    <row r="11" spans="1:5" ht="12.75" outlineLevel="1">
      <c r="A11" s="7" t="s">
        <v>1949</v>
      </c>
      <c r="B11" s="29" t="s">
        <v>849</v>
      </c>
      <c r="C11" s="7" t="s">
        <v>1948</v>
      </c>
      <c r="D11" s="30">
        <v>4161</v>
      </c>
      <c r="E11" s="46"/>
    </row>
    <row r="12" spans="1:5" ht="12.75" outlineLevel="1">
      <c r="A12" s="7" t="s">
        <v>2183</v>
      </c>
      <c r="B12" s="29" t="s">
        <v>849</v>
      </c>
      <c r="C12" s="7" t="s">
        <v>2184</v>
      </c>
      <c r="D12" s="30">
        <v>284.1</v>
      </c>
      <c r="E12" s="46"/>
    </row>
    <row r="13" spans="1:5" ht="12.75" outlineLevel="1">
      <c r="A13" s="51" t="s">
        <v>2198</v>
      </c>
      <c r="B13" s="52" t="s">
        <v>849</v>
      </c>
      <c r="C13" s="51" t="s">
        <v>2199</v>
      </c>
      <c r="D13" s="30">
        <v>6084</v>
      </c>
      <c r="E13" s="46"/>
    </row>
    <row r="14" spans="1:5" ht="12.75" outlineLevel="1">
      <c r="A14" s="51" t="s">
        <v>2185</v>
      </c>
      <c r="B14" s="52" t="s">
        <v>849</v>
      </c>
      <c r="C14" s="51" t="s">
        <v>2200</v>
      </c>
      <c r="D14" s="30">
        <v>189.4</v>
      </c>
      <c r="E14" s="46"/>
    </row>
    <row r="15" spans="1:5" ht="12.75" outlineLevel="1">
      <c r="A15" s="51" t="s">
        <v>101</v>
      </c>
      <c r="B15" s="52" t="s">
        <v>1951</v>
      </c>
      <c r="C15" s="51" t="s">
        <v>103</v>
      </c>
      <c r="D15" s="30">
        <v>153</v>
      </c>
      <c r="E15" s="46"/>
    </row>
    <row r="16" spans="1:5" ht="12.75" outlineLevel="1">
      <c r="A16" s="51" t="s">
        <v>107</v>
      </c>
      <c r="B16" s="52" t="s">
        <v>1951</v>
      </c>
      <c r="C16" s="51" t="s">
        <v>108</v>
      </c>
      <c r="D16" s="30">
        <v>989</v>
      </c>
      <c r="E16" s="46"/>
    </row>
    <row r="17" spans="1:5" ht="12.75" outlineLevel="1">
      <c r="A17" s="51" t="s">
        <v>364</v>
      </c>
      <c r="B17" s="52" t="s">
        <v>1951</v>
      </c>
      <c r="C17" s="51" t="s">
        <v>365</v>
      </c>
      <c r="D17" s="30">
        <v>3494</v>
      </c>
      <c r="E17" s="46"/>
    </row>
    <row r="18" spans="1:5" ht="12.75" outlineLevel="1">
      <c r="A18" s="7" t="s">
        <v>1689</v>
      </c>
      <c r="B18" s="29" t="s">
        <v>1952</v>
      </c>
      <c r="C18" s="7" t="s">
        <v>1690</v>
      </c>
      <c r="D18" s="30">
        <v>4458</v>
      </c>
      <c r="E18" s="46"/>
    </row>
    <row r="19" spans="1:5" ht="12.75" outlineLevel="1">
      <c r="A19" s="7" t="s">
        <v>1692</v>
      </c>
      <c r="B19" s="29" t="s">
        <v>1952</v>
      </c>
      <c r="C19" s="7" t="s">
        <v>1696</v>
      </c>
      <c r="D19" s="30">
        <v>1644</v>
      </c>
      <c r="E19" s="46"/>
    </row>
    <row r="20" spans="1:5" ht="12.75" outlineLevel="1">
      <c r="A20" s="7" t="s">
        <v>10</v>
      </c>
      <c r="B20" s="29" t="s">
        <v>1952</v>
      </c>
      <c r="C20" s="7" t="s">
        <v>11</v>
      </c>
      <c r="D20" s="30">
        <v>479</v>
      </c>
      <c r="E20" s="46"/>
    </row>
    <row r="21" spans="1:5" ht="12.75" outlineLevel="1">
      <c r="A21" s="7" t="s">
        <v>554</v>
      </c>
      <c r="B21" s="7" t="s">
        <v>1952</v>
      </c>
      <c r="C21" s="7" t="s">
        <v>2382</v>
      </c>
      <c r="D21" s="16">
        <v>284.1</v>
      </c>
      <c r="E21" s="46"/>
    </row>
    <row r="22" spans="1:5" ht="12.75" outlineLevel="1">
      <c r="A22" s="7" t="s">
        <v>484</v>
      </c>
      <c r="B22" s="29" t="s">
        <v>1952</v>
      </c>
      <c r="C22" s="7" t="s">
        <v>483</v>
      </c>
      <c r="D22" s="30">
        <v>524</v>
      </c>
      <c r="E22" s="46"/>
    </row>
    <row r="23" spans="1:5" ht="12.75" outlineLevel="1">
      <c r="A23" s="7" t="s">
        <v>2409</v>
      </c>
      <c r="B23" s="29" t="s">
        <v>1953</v>
      </c>
      <c r="C23" s="7" t="s">
        <v>1295</v>
      </c>
      <c r="D23" s="30">
        <v>94.7</v>
      </c>
      <c r="E23" s="46"/>
    </row>
    <row r="24" spans="1:5" ht="12.75" outlineLevel="1">
      <c r="A24" s="7" t="s">
        <v>2323</v>
      </c>
      <c r="B24" s="29" t="s">
        <v>1953</v>
      </c>
      <c r="C24" s="7" t="s">
        <v>2340</v>
      </c>
      <c r="D24" s="30">
        <v>9048</v>
      </c>
      <c r="E24" s="46"/>
    </row>
    <row r="25" spans="1:5" ht="12.75" outlineLevel="1">
      <c r="A25" s="7" t="s">
        <v>2357</v>
      </c>
      <c r="B25" s="29" t="s">
        <v>1953</v>
      </c>
      <c r="C25" s="7" t="s">
        <v>2358</v>
      </c>
      <c r="D25" s="30">
        <v>720</v>
      </c>
      <c r="E25" s="46"/>
    </row>
    <row r="26" spans="1:5" ht="12.75" outlineLevel="1">
      <c r="A26" s="8" t="s">
        <v>2406</v>
      </c>
      <c r="B26" s="29" t="s">
        <v>1953</v>
      </c>
      <c r="C26" s="7" t="s">
        <v>2407</v>
      </c>
      <c r="D26" s="31">
        <v>1118</v>
      </c>
      <c r="E26" s="46"/>
    </row>
    <row r="27" spans="1:5" ht="12.75" outlineLevel="1">
      <c r="A27" s="8" t="s">
        <v>2286</v>
      </c>
      <c r="B27" s="29" t="s">
        <v>1953</v>
      </c>
      <c r="C27" s="7" t="s">
        <v>2287</v>
      </c>
      <c r="D27" s="31">
        <v>4002</v>
      </c>
      <c r="E27" s="46"/>
    </row>
    <row r="28" spans="1:5" ht="12.75" outlineLevel="1">
      <c r="A28" s="8" t="s">
        <v>2661</v>
      </c>
      <c r="B28" s="29" t="s">
        <v>1954</v>
      </c>
      <c r="C28" s="7" t="s">
        <v>2662</v>
      </c>
      <c r="D28" s="31">
        <v>778</v>
      </c>
      <c r="E28" s="46"/>
    </row>
    <row r="29" spans="1:5" ht="12.75" outlineLevel="1">
      <c r="A29" s="8" t="s">
        <v>2663</v>
      </c>
      <c r="B29" s="29" t="s">
        <v>1954</v>
      </c>
      <c r="C29" s="7" t="s">
        <v>2664</v>
      </c>
      <c r="D29" s="31">
        <v>5211</v>
      </c>
      <c r="E29" s="46"/>
    </row>
    <row r="30" spans="1:5" ht="12.75" outlineLevel="1">
      <c r="A30" s="8" t="s">
        <v>1246</v>
      </c>
      <c r="B30" s="29" t="s">
        <v>1954</v>
      </c>
      <c r="C30" s="7" t="s">
        <v>1247</v>
      </c>
      <c r="D30" s="31">
        <v>3751</v>
      </c>
      <c r="E30" s="46"/>
    </row>
    <row r="31" spans="1:5" ht="12.75" outlineLevel="1">
      <c r="A31" s="9" t="s">
        <v>1266</v>
      </c>
      <c r="B31" s="29" t="s">
        <v>1954</v>
      </c>
      <c r="C31" s="7" t="s">
        <v>1269</v>
      </c>
      <c r="D31" s="30">
        <v>930</v>
      </c>
      <c r="E31" s="46"/>
    </row>
    <row r="32" spans="1:5" ht="12.75" outlineLevel="1">
      <c r="A32" s="9" t="s">
        <v>1277</v>
      </c>
      <c r="B32" s="29" t="s">
        <v>1954</v>
      </c>
      <c r="C32" s="7" t="s">
        <v>1278</v>
      </c>
      <c r="D32" s="30">
        <v>2429</v>
      </c>
      <c r="E32" s="46"/>
    </row>
    <row r="33" spans="1:5" ht="12.75" outlineLevel="1">
      <c r="A33" s="8" t="s">
        <v>572</v>
      </c>
      <c r="B33" s="29" t="s">
        <v>1954</v>
      </c>
      <c r="C33" s="7" t="s">
        <v>559</v>
      </c>
      <c r="D33" s="31">
        <v>16.21</v>
      </c>
      <c r="E33" s="46"/>
    </row>
    <row r="34" spans="1:5" ht="12.75" outlineLevel="1">
      <c r="A34" s="8" t="s">
        <v>571</v>
      </c>
      <c r="B34" s="29" t="s">
        <v>1954</v>
      </c>
      <c r="C34" s="7" t="s">
        <v>559</v>
      </c>
      <c r="D34" s="31">
        <v>340.32</v>
      </c>
      <c r="E34" s="46"/>
    </row>
    <row r="35" spans="1:5" ht="12.75" outlineLevel="1">
      <c r="A35" s="8" t="s">
        <v>2775</v>
      </c>
      <c r="B35" s="29" t="s">
        <v>1954</v>
      </c>
      <c r="C35" s="7" t="s">
        <v>2776</v>
      </c>
      <c r="D35" s="31">
        <v>568.2</v>
      </c>
      <c r="E35" s="46"/>
    </row>
    <row r="36" spans="1:5" ht="12.75" outlineLevel="1">
      <c r="A36" s="8" t="s">
        <v>1930</v>
      </c>
      <c r="B36" s="29" t="s">
        <v>1955</v>
      </c>
      <c r="C36" s="7" t="s">
        <v>424</v>
      </c>
      <c r="D36" s="31">
        <v>12963.8</v>
      </c>
      <c r="E36" s="46"/>
    </row>
    <row r="37" spans="1:5" ht="12.75" outlineLevel="1">
      <c r="A37" s="8" t="s">
        <v>1003</v>
      </c>
      <c r="B37" s="29" t="s">
        <v>1955</v>
      </c>
      <c r="C37" s="7" t="s">
        <v>2234</v>
      </c>
      <c r="D37" s="31">
        <v>2638</v>
      </c>
      <c r="E37" s="61"/>
    </row>
    <row r="38" spans="1:5" ht="12.75" outlineLevel="1">
      <c r="A38" s="8" t="s">
        <v>1241</v>
      </c>
      <c r="B38" s="29" t="s">
        <v>1957</v>
      </c>
      <c r="C38" s="7" t="s">
        <v>1242</v>
      </c>
      <c r="D38" s="31">
        <v>2326</v>
      </c>
      <c r="E38" s="61"/>
    </row>
    <row r="39" spans="1:5" ht="12.75" outlineLevel="1">
      <c r="A39" s="8" t="s">
        <v>2148</v>
      </c>
      <c r="B39" s="29" t="s">
        <v>1958</v>
      </c>
      <c r="C39" s="7" t="s">
        <v>1186</v>
      </c>
      <c r="D39" s="31">
        <v>312</v>
      </c>
      <c r="E39" s="61"/>
    </row>
    <row r="40" spans="1:5" ht="12.75" outlineLevel="1">
      <c r="A40" s="8" t="s">
        <v>393</v>
      </c>
      <c r="B40" s="29" t="s">
        <v>1959</v>
      </c>
      <c r="C40" s="7" t="s">
        <v>394</v>
      </c>
      <c r="D40" s="31">
        <v>15272</v>
      </c>
      <c r="E40" s="61"/>
    </row>
    <row r="41" spans="1:5" ht="12.75" outlineLevel="1">
      <c r="A41" s="8" t="s">
        <v>395</v>
      </c>
      <c r="B41" s="29" t="s">
        <v>1959</v>
      </c>
      <c r="C41" s="7" t="s">
        <v>396</v>
      </c>
      <c r="D41" s="31">
        <v>2887.87</v>
      </c>
      <c r="E41" s="61"/>
    </row>
    <row r="42" spans="1:5" ht="12.75" outlineLevel="1">
      <c r="A42" s="8" t="s">
        <v>1152</v>
      </c>
      <c r="B42" s="29" t="s">
        <v>1959</v>
      </c>
      <c r="C42" s="7" t="s">
        <v>2727</v>
      </c>
      <c r="D42" s="31">
        <v>4002.97</v>
      </c>
      <c r="E42" s="61"/>
    </row>
    <row r="43" spans="1:5" ht="12.75" outlineLevel="1">
      <c r="A43" s="8" t="s">
        <v>872</v>
      </c>
      <c r="B43" s="29" t="s">
        <v>1959</v>
      </c>
      <c r="C43" s="7" t="s">
        <v>873</v>
      </c>
      <c r="D43" s="31">
        <v>15671</v>
      </c>
      <c r="E43" s="61"/>
    </row>
    <row r="44" spans="1:5" ht="12.75" outlineLevel="1">
      <c r="A44" s="8" t="s">
        <v>2148</v>
      </c>
      <c r="B44" s="29" t="s">
        <v>1959</v>
      </c>
      <c r="C44" s="7" t="s">
        <v>1186</v>
      </c>
      <c r="D44" s="31">
        <v>312</v>
      </c>
      <c r="E44" s="61"/>
    </row>
    <row r="45" spans="1:5" ht="38.25" outlineLevel="1">
      <c r="A45" s="8" t="s">
        <v>803</v>
      </c>
      <c r="B45" s="29" t="s">
        <v>1960</v>
      </c>
      <c r="C45" s="7" t="s">
        <v>804</v>
      </c>
      <c r="D45" s="16">
        <v>31446.11</v>
      </c>
      <c r="E45" s="61"/>
    </row>
    <row r="46" spans="1:5" ht="12.75" outlineLevel="1">
      <c r="A46" s="8" t="s">
        <v>916</v>
      </c>
      <c r="B46" s="29" t="s">
        <v>1960</v>
      </c>
      <c r="C46" s="7" t="s">
        <v>917</v>
      </c>
      <c r="D46" s="16">
        <v>2272.8</v>
      </c>
      <c r="E46" s="61"/>
    </row>
    <row r="47" spans="1:5" ht="12.75" outlineLevel="1">
      <c r="A47" s="8" t="s">
        <v>961</v>
      </c>
      <c r="B47" s="29" t="s">
        <v>1960</v>
      </c>
      <c r="C47" s="7" t="s">
        <v>962</v>
      </c>
      <c r="D47" s="16">
        <v>849</v>
      </c>
      <c r="E47" s="61"/>
    </row>
    <row r="48" spans="1:5" ht="12.75" outlineLevel="1">
      <c r="A48" s="55" t="s">
        <v>1719</v>
      </c>
      <c r="B48" s="52" t="s">
        <v>1961</v>
      </c>
      <c r="C48" s="51" t="s">
        <v>217</v>
      </c>
      <c r="D48" s="16">
        <v>965.95</v>
      </c>
      <c r="E48" s="61"/>
    </row>
    <row r="49" spans="1:5" ht="12.75">
      <c r="A49" s="117" t="s">
        <v>1340</v>
      </c>
      <c r="B49" s="118"/>
      <c r="C49" s="119"/>
      <c r="D49" s="28">
        <f>SUM(D50:D50)</f>
        <v>3192.42</v>
      </c>
      <c r="E49" s="46"/>
    </row>
    <row r="50" spans="1:5" ht="12.75" outlineLevel="1">
      <c r="A50" s="9" t="s">
        <v>1982</v>
      </c>
      <c r="B50" s="29" t="s">
        <v>1959</v>
      </c>
      <c r="C50" s="7" t="s">
        <v>2233</v>
      </c>
      <c r="D50" s="30">
        <v>3192.42</v>
      </c>
      <c r="E50" s="46"/>
    </row>
    <row r="51" spans="1:5" ht="12.75">
      <c r="A51" s="117" t="s">
        <v>1342</v>
      </c>
      <c r="B51" s="118"/>
      <c r="C51" s="119"/>
      <c r="D51" s="28">
        <f>SUM(D52:D54)</f>
        <v>58376</v>
      </c>
      <c r="E51" s="46"/>
    </row>
    <row r="52" spans="1:5" ht="12.75" outlineLevel="1">
      <c r="A52" s="51" t="s">
        <v>1664</v>
      </c>
      <c r="B52" s="52" t="s">
        <v>1952</v>
      </c>
      <c r="C52" s="51" t="s">
        <v>1665</v>
      </c>
      <c r="D52" s="30">
        <v>42148</v>
      </c>
      <c r="E52" s="46"/>
    </row>
    <row r="53" spans="1:5" ht="15.75" customHeight="1" outlineLevel="1">
      <c r="A53" s="7" t="s">
        <v>222</v>
      </c>
      <c r="B53" s="29" t="s">
        <v>1953</v>
      </c>
      <c r="C53" s="7" t="s">
        <v>2283</v>
      </c>
      <c r="D53" s="30">
        <v>14643</v>
      </c>
      <c r="E53" s="46"/>
    </row>
    <row r="54" spans="1:5" ht="14.25" customHeight="1" outlineLevel="1">
      <c r="A54" s="7" t="s">
        <v>223</v>
      </c>
      <c r="B54" s="29" t="s">
        <v>1961</v>
      </c>
      <c r="C54" s="7" t="s">
        <v>224</v>
      </c>
      <c r="D54" s="30">
        <v>1585</v>
      </c>
      <c r="E54" s="46"/>
    </row>
    <row r="55" spans="1:5" ht="12.75">
      <c r="A55" s="117" t="s">
        <v>1344</v>
      </c>
      <c r="B55" s="118"/>
      <c r="C55" s="119"/>
      <c r="D55" s="28">
        <f>SUM(D56:D67)</f>
        <v>362966.69000000006</v>
      </c>
      <c r="E55" s="46"/>
    </row>
    <row r="56" spans="1:5" ht="12.75" outlineLevel="1">
      <c r="A56" s="7"/>
      <c r="B56" s="29" t="s">
        <v>849</v>
      </c>
      <c r="C56" s="7" t="s">
        <v>1963</v>
      </c>
      <c r="D56" s="30">
        <f>6495.37+6035.29+3586.19+8484.4+3673.66+2274.17</f>
        <v>30549.08</v>
      </c>
      <c r="E56" s="46"/>
    </row>
    <row r="57" spans="1:5" ht="12.75" outlineLevel="1">
      <c r="A57" s="7"/>
      <c r="B57" s="29" t="s">
        <v>1951</v>
      </c>
      <c r="C57" s="7" t="s">
        <v>1963</v>
      </c>
      <c r="D57" s="30">
        <f>6909.97+4828.23+3586.19+8484.4+3673.66+2274.17</f>
        <v>29756.620000000003</v>
      </c>
      <c r="E57" s="46"/>
    </row>
    <row r="58" spans="1:5" ht="12.75" outlineLevel="1">
      <c r="A58" s="7"/>
      <c r="B58" s="29" t="s">
        <v>1952</v>
      </c>
      <c r="C58" s="7" t="s">
        <v>1963</v>
      </c>
      <c r="D58" s="30">
        <f>6909.97+4828.23+3586.19+8484.4+3673.66+1614.66+372.61</f>
        <v>29469.72</v>
      </c>
      <c r="E58" s="46"/>
    </row>
    <row r="59" spans="1:5" ht="12.75" outlineLevel="1">
      <c r="A59" s="7"/>
      <c r="B59" s="29" t="s">
        <v>1953</v>
      </c>
      <c r="C59" s="7" t="s">
        <v>1963</v>
      </c>
      <c r="D59" s="30">
        <f>6564.47+5335.55+10863.53+3148.85+2046.75+524.81</f>
        <v>28483.960000000003</v>
      </c>
      <c r="E59" s="46"/>
    </row>
    <row r="60" spans="1:5" ht="12.75" outlineLevel="1">
      <c r="A60" s="7"/>
      <c r="B60" s="29" t="s">
        <v>1954</v>
      </c>
      <c r="C60" s="7" t="s">
        <v>1963</v>
      </c>
      <c r="D60" s="30">
        <f>4629.68+4635.8+11895.65+3236.32+2186.7+524.81</f>
        <v>27108.96</v>
      </c>
      <c r="E60" s="46"/>
    </row>
    <row r="61" spans="1:5" ht="12.75" outlineLevel="1">
      <c r="A61" s="7"/>
      <c r="B61" s="29" t="s">
        <v>1955</v>
      </c>
      <c r="C61" s="7" t="s">
        <v>1963</v>
      </c>
      <c r="D61" s="30">
        <f>2418.49+2317.9+6035.29+1618.16+1093.35</f>
        <v>13483.19</v>
      </c>
      <c r="E61" s="46"/>
    </row>
    <row r="62" spans="1:5" ht="12.75" outlineLevel="1">
      <c r="A62" s="7"/>
      <c r="B62" s="29" t="s">
        <v>1956</v>
      </c>
      <c r="C62" s="7" t="s">
        <v>1963</v>
      </c>
      <c r="D62" s="30">
        <f>7697.18+5160.61+9833.15+2617.92+1787.85+6281.95</f>
        <v>33378.659999999996</v>
      </c>
      <c r="E62" s="46"/>
    </row>
    <row r="63" spans="1:5" ht="12.75" outlineLevel="1">
      <c r="A63" s="7"/>
      <c r="B63" s="29" t="s">
        <v>1957</v>
      </c>
      <c r="C63" s="7" t="s">
        <v>1963</v>
      </c>
      <c r="D63" s="20">
        <f>7697.18+5160.61+13470.07+3586.19+2449.1+4723.27</f>
        <v>37086.42</v>
      </c>
      <c r="E63" s="46"/>
    </row>
    <row r="64" spans="1:5" ht="12.75" outlineLevel="1">
      <c r="A64" s="7"/>
      <c r="B64" s="29" t="s">
        <v>1958</v>
      </c>
      <c r="C64" s="7" t="s">
        <v>1963</v>
      </c>
      <c r="D64" s="30">
        <f>7697.18+5160.61+13470.07+3585.19+2449.1</f>
        <v>32362.149999999998</v>
      </c>
      <c r="E64" s="46"/>
    </row>
    <row r="65" spans="1:5" ht="12.75" outlineLevel="1">
      <c r="A65" s="7"/>
      <c r="B65" s="29" t="s">
        <v>1959</v>
      </c>
      <c r="C65" s="7" t="s">
        <v>1963</v>
      </c>
      <c r="D65" s="30">
        <f>7697.18+5160.61+13470.07+3586.19+2449.1</f>
        <v>32363.149999999998</v>
      </c>
      <c r="E65" s="46"/>
    </row>
    <row r="66" spans="1:5" ht="12.75" outlineLevel="1">
      <c r="A66" s="7"/>
      <c r="B66" s="29" t="s">
        <v>1960</v>
      </c>
      <c r="C66" s="7" t="s">
        <v>1963</v>
      </c>
      <c r="D66" s="30">
        <f>7697.18+6735.04+4023.53+9446.54+4111+2449.1</f>
        <v>34462.39</v>
      </c>
      <c r="E66" s="46"/>
    </row>
    <row r="67" spans="1:5" ht="12.75" outlineLevel="1">
      <c r="A67" s="11"/>
      <c r="B67" s="29" t="s">
        <v>1961</v>
      </c>
      <c r="C67" s="7" t="s">
        <v>1963</v>
      </c>
      <c r="D67" s="30">
        <f>7697.18+6735.04+4023.53+9446.54+4111+2449.1</f>
        <v>34462.39</v>
      </c>
      <c r="E67" s="46"/>
    </row>
    <row r="68" spans="1:5" ht="12.75">
      <c r="A68" s="117" t="s">
        <v>1346</v>
      </c>
      <c r="B68" s="118"/>
      <c r="C68" s="119"/>
      <c r="D68" s="28">
        <f>SUM(D69:D72)</f>
        <v>10738.26</v>
      </c>
      <c r="E68" s="46"/>
    </row>
    <row r="69" spans="1:5" ht="12.75" outlineLevel="1">
      <c r="A69" s="7" t="s">
        <v>1971</v>
      </c>
      <c r="B69" s="29" t="s">
        <v>849</v>
      </c>
      <c r="C69" s="7" t="s">
        <v>2190</v>
      </c>
      <c r="D69" s="30">
        <v>905.6</v>
      </c>
      <c r="E69" s="46"/>
    </row>
    <row r="70" spans="1:5" ht="12.75" outlineLevel="1">
      <c r="A70" s="51" t="s">
        <v>2195</v>
      </c>
      <c r="B70" s="52" t="s">
        <v>849</v>
      </c>
      <c r="C70" s="51" t="s">
        <v>2190</v>
      </c>
      <c r="D70" s="30">
        <v>905.66</v>
      </c>
      <c r="E70" s="46"/>
    </row>
    <row r="71" spans="1:5" ht="12.75" outlineLevel="1">
      <c r="A71" s="7" t="s">
        <v>711</v>
      </c>
      <c r="B71" s="29" t="s">
        <v>1957</v>
      </c>
      <c r="C71" s="7" t="s">
        <v>709</v>
      </c>
      <c r="D71" s="30">
        <v>8377</v>
      </c>
      <c r="E71" s="46"/>
    </row>
    <row r="72" spans="1:5" ht="12.75" outlineLevel="1">
      <c r="A72" s="7" t="s">
        <v>220</v>
      </c>
      <c r="B72" s="29" t="s">
        <v>1961</v>
      </c>
      <c r="C72" s="7" t="s">
        <v>221</v>
      </c>
      <c r="D72" s="30">
        <v>550</v>
      </c>
      <c r="E72" s="46"/>
    </row>
    <row r="73" spans="1:5" ht="12.75">
      <c r="A73" s="117" t="s">
        <v>1341</v>
      </c>
      <c r="B73" s="118"/>
      <c r="C73" s="119"/>
      <c r="D73" s="28">
        <f>SUM(D74:D83)</f>
        <v>17055.1</v>
      </c>
      <c r="E73" s="46"/>
    </row>
    <row r="74" spans="1:5" ht="12.75" outlineLevel="1">
      <c r="A74" s="7" t="s">
        <v>1784</v>
      </c>
      <c r="B74" s="29" t="s">
        <v>849</v>
      </c>
      <c r="C74" s="7" t="s">
        <v>1884</v>
      </c>
      <c r="D74" s="30">
        <v>714</v>
      </c>
      <c r="E74" s="46"/>
    </row>
    <row r="75" spans="1:5" ht="12.75" outlineLevel="1">
      <c r="A75" s="7" t="s">
        <v>304</v>
      </c>
      <c r="B75" s="29" t="s">
        <v>1951</v>
      </c>
      <c r="C75" s="7" t="s">
        <v>305</v>
      </c>
      <c r="D75" s="30">
        <v>1467</v>
      </c>
      <c r="E75" s="46"/>
    </row>
    <row r="76" spans="1:5" ht="12.75" outlineLevel="1">
      <c r="A76" s="7" t="s">
        <v>517</v>
      </c>
      <c r="B76" s="29" t="s">
        <v>1952</v>
      </c>
      <c r="C76" s="7" t="s">
        <v>519</v>
      </c>
      <c r="D76" s="30">
        <v>1872</v>
      </c>
      <c r="E76" s="46"/>
    </row>
    <row r="77" spans="1:5" ht="12.75" outlineLevel="1">
      <c r="A77" s="7" t="s">
        <v>538</v>
      </c>
      <c r="B77" s="29" t="s">
        <v>1952</v>
      </c>
      <c r="C77" s="7" t="s">
        <v>540</v>
      </c>
      <c r="D77" s="30">
        <v>5125</v>
      </c>
      <c r="E77" s="46"/>
    </row>
    <row r="78" spans="1:5" ht="12.75" outlineLevel="1">
      <c r="A78" s="7" t="s">
        <v>982</v>
      </c>
      <c r="B78" s="29" t="s">
        <v>1955</v>
      </c>
      <c r="C78" s="7" t="s">
        <v>983</v>
      </c>
      <c r="D78" s="30">
        <v>78</v>
      </c>
      <c r="E78" s="46"/>
    </row>
    <row r="79" spans="1:5" ht="25.5" outlineLevel="1">
      <c r="A79" s="7" t="s">
        <v>1055</v>
      </c>
      <c r="B79" s="29" t="s">
        <v>1955</v>
      </c>
      <c r="C79" s="7" t="s">
        <v>1056</v>
      </c>
      <c r="D79" s="30">
        <v>1840</v>
      </c>
      <c r="E79" s="46"/>
    </row>
    <row r="80" spans="1:5" ht="12.75" outlineLevel="1">
      <c r="A80" s="51" t="s">
        <v>215</v>
      </c>
      <c r="B80" s="52" t="s">
        <v>1958</v>
      </c>
      <c r="C80" s="51" t="s">
        <v>216</v>
      </c>
      <c r="D80" s="73">
        <v>184</v>
      </c>
      <c r="E80" s="46"/>
    </row>
    <row r="81" spans="1:5" ht="12.75" outlineLevel="1">
      <c r="A81" s="7" t="s">
        <v>2027</v>
      </c>
      <c r="B81" s="29" t="s">
        <v>1960</v>
      </c>
      <c r="C81" s="7" t="s">
        <v>2028</v>
      </c>
      <c r="D81" s="30">
        <v>2796.37</v>
      </c>
      <c r="E81" s="46"/>
    </row>
    <row r="82" spans="1:5" ht="38.25" outlineLevel="1">
      <c r="A82" s="7" t="s">
        <v>96</v>
      </c>
      <c r="B82" s="29" t="s">
        <v>1960</v>
      </c>
      <c r="C82" s="7" t="s">
        <v>98</v>
      </c>
      <c r="D82" s="30">
        <v>1373.09</v>
      </c>
      <c r="E82" s="46"/>
    </row>
    <row r="83" spans="1:5" ht="12.75" outlineLevel="1">
      <c r="A83" s="7" t="s">
        <v>218</v>
      </c>
      <c r="B83" s="29" t="s">
        <v>1961</v>
      </c>
      <c r="C83" s="7" t="s">
        <v>219</v>
      </c>
      <c r="D83" s="30">
        <v>1605.64</v>
      </c>
      <c r="E83" s="46"/>
    </row>
    <row r="84" spans="1:5" ht="12.75">
      <c r="A84" s="117" t="s">
        <v>1347</v>
      </c>
      <c r="B84" s="118"/>
      <c r="C84" s="119"/>
      <c r="D84" s="28">
        <f>SUM(D85:D86)</f>
        <v>15645.4</v>
      </c>
      <c r="E84" s="46"/>
    </row>
    <row r="85" spans="1:5" ht="12.75" outlineLevel="1">
      <c r="A85" s="7" t="s">
        <v>2430</v>
      </c>
      <c r="B85" s="29" t="s">
        <v>1953</v>
      </c>
      <c r="C85" s="7" t="s">
        <v>2438</v>
      </c>
      <c r="D85" s="30">
        <v>1666</v>
      </c>
      <c r="E85" s="46"/>
    </row>
    <row r="86" spans="1:5" ht="12.75" outlineLevel="1">
      <c r="A86" s="11"/>
      <c r="B86" s="29"/>
      <c r="C86" s="7" t="s">
        <v>239</v>
      </c>
      <c r="D86" s="30">
        <f>13979.4</f>
        <v>13979.4</v>
      </c>
      <c r="E86" s="46"/>
    </row>
    <row r="87" spans="1:5" ht="12.75">
      <c r="A87" s="117" t="s">
        <v>1348</v>
      </c>
      <c r="B87" s="118"/>
      <c r="C87" s="119"/>
      <c r="D87" s="32">
        <f>SUM(D88:D91)</f>
        <v>13473</v>
      </c>
      <c r="E87" s="46"/>
    </row>
    <row r="88" spans="1:5" ht="12.75" outlineLevel="1">
      <c r="A88" s="7" t="s">
        <v>2398</v>
      </c>
      <c r="B88" s="29" t="s">
        <v>1952</v>
      </c>
      <c r="C88" s="7" t="s">
        <v>1577</v>
      </c>
      <c r="D88" s="30">
        <v>6084</v>
      </c>
      <c r="E88" s="46"/>
    </row>
    <row r="89" spans="1:5" ht="12.75" outlineLevel="1">
      <c r="A89" s="7" t="s">
        <v>1576</v>
      </c>
      <c r="B89" s="29" t="s">
        <v>849</v>
      </c>
      <c r="C89" s="7" t="s">
        <v>1578</v>
      </c>
      <c r="D89" s="30">
        <v>6084</v>
      </c>
      <c r="E89" s="46"/>
    </row>
    <row r="90" spans="1:5" ht="12.75" outlineLevel="1">
      <c r="A90" s="7" t="s">
        <v>1574</v>
      </c>
      <c r="B90" s="29" t="s">
        <v>1960</v>
      </c>
      <c r="C90" s="7" t="s">
        <v>1575</v>
      </c>
      <c r="D90" s="30">
        <v>849</v>
      </c>
      <c r="E90" s="46"/>
    </row>
    <row r="91" spans="1:5" ht="12.75" outlineLevel="1">
      <c r="A91" s="7" t="s">
        <v>959</v>
      </c>
      <c r="B91" s="29" t="s">
        <v>1960</v>
      </c>
      <c r="C91" s="7" t="s">
        <v>960</v>
      </c>
      <c r="D91" s="30">
        <v>456</v>
      </c>
      <c r="E91" s="46"/>
    </row>
    <row r="92" spans="1:5" ht="12.75">
      <c r="A92" s="129" t="s">
        <v>1349</v>
      </c>
      <c r="B92" s="130"/>
      <c r="C92" s="131"/>
      <c r="D92" s="32">
        <f>SUM(D93:D93)</f>
        <v>330802</v>
      </c>
      <c r="E92" s="46"/>
    </row>
    <row r="93" spans="1:5" ht="12.75" outlineLevel="1">
      <c r="A93" s="13" t="s">
        <v>716</v>
      </c>
      <c r="B93" s="29" t="s">
        <v>1961</v>
      </c>
      <c r="C93" s="13" t="s">
        <v>719</v>
      </c>
      <c r="D93" s="36">
        <v>330802</v>
      </c>
      <c r="E93" s="46"/>
    </row>
    <row r="94" spans="1:5" ht="12.75">
      <c r="A94" s="6">
        <v>8748.4</v>
      </c>
      <c r="B94" s="6" t="s">
        <v>1356</v>
      </c>
      <c r="C94" s="37" t="s">
        <v>1345</v>
      </c>
      <c r="D94" s="23">
        <f>(8748.4*6*1.46)+(8748.4*6*1.63)</f>
        <v>162195.33599999998</v>
      </c>
      <c r="E94" s="46"/>
    </row>
    <row r="95" spans="1:5" ht="12.75">
      <c r="A95" s="6">
        <v>8748.4</v>
      </c>
      <c r="B95" s="6" t="s">
        <v>1356</v>
      </c>
      <c r="C95" s="37" t="s">
        <v>1357</v>
      </c>
      <c r="D95" s="23">
        <f>(8748.4*6*0.1)+(8748.4*6*0.11)</f>
        <v>11022.984</v>
      </c>
      <c r="E95" s="46"/>
    </row>
    <row r="96" spans="1:6" ht="12.75">
      <c r="A96" s="137" t="s">
        <v>1361</v>
      </c>
      <c r="B96" s="138"/>
      <c r="C96" s="139"/>
      <c r="D96" s="67">
        <f>(8748.4*6*0.94)+(8748.4*6*1.03)</f>
        <v>103406.08799999999</v>
      </c>
      <c r="E96" s="46"/>
      <c r="F96" s="14" t="s">
        <v>785</v>
      </c>
    </row>
    <row r="97" spans="1:6" ht="12.75">
      <c r="A97" s="125" t="s">
        <v>1350</v>
      </c>
      <c r="B97" s="126"/>
      <c r="C97" s="127"/>
      <c r="D97" s="67">
        <f>(8748.4*6*1.57)+(8748.4*6*1.75)</f>
        <v>174268.12799999997</v>
      </c>
      <c r="E97" s="46"/>
      <c r="F97" s="14" t="s">
        <v>786</v>
      </c>
    </row>
    <row r="98" spans="1:6" ht="12.75">
      <c r="A98" s="125" t="s">
        <v>1362</v>
      </c>
      <c r="B98" s="126"/>
      <c r="C98" s="127"/>
      <c r="D98" s="16">
        <f>10.3*(D100+D101)/100</f>
        <v>244919.61502</v>
      </c>
      <c r="E98" s="47"/>
      <c r="F98" s="14" t="s">
        <v>1353</v>
      </c>
    </row>
    <row r="99" spans="1:6" ht="12.75" customHeight="1">
      <c r="A99" s="120" t="s">
        <v>1363</v>
      </c>
      <c r="B99" s="121"/>
      <c r="C99" s="122"/>
      <c r="D99" s="41">
        <f>D98+D97+D96+D7+D3</f>
        <v>1696177.85102</v>
      </c>
      <c r="E99" s="48"/>
      <c r="F99" s="14" t="s">
        <v>787</v>
      </c>
    </row>
    <row r="100" spans="1:6" ht="12.75" customHeight="1">
      <c r="A100" s="114" t="s">
        <v>1364</v>
      </c>
      <c r="B100" s="115"/>
      <c r="C100" s="116"/>
      <c r="D100" s="18">
        <v>2089158.02</v>
      </c>
      <c r="E100" s="48"/>
      <c r="F100" s="14" t="s">
        <v>788</v>
      </c>
    </row>
    <row r="101" spans="1:6" ht="12.75" customHeight="1">
      <c r="A101" s="114" t="s">
        <v>1365</v>
      </c>
      <c r="B101" s="115"/>
      <c r="C101" s="116"/>
      <c r="D101" s="18">
        <f>288702.32</f>
        <v>288702.32</v>
      </c>
      <c r="E101" s="48"/>
      <c r="F101" s="14" t="s">
        <v>789</v>
      </c>
    </row>
    <row r="102" spans="1:6" ht="12.75" customHeight="1">
      <c r="A102" s="114" t="s">
        <v>2221</v>
      </c>
      <c r="B102" s="115"/>
      <c r="C102" s="116"/>
      <c r="D102" s="19">
        <f>2227584.6+D100</f>
        <v>4316742.62</v>
      </c>
      <c r="E102" s="48">
        <v>1</v>
      </c>
      <c r="F102" s="14" t="s">
        <v>790</v>
      </c>
    </row>
    <row r="103" spans="1:6" ht="12.75" customHeight="1">
      <c r="A103" s="114" t="s">
        <v>2222</v>
      </c>
      <c r="B103" s="115"/>
      <c r="C103" s="116"/>
      <c r="D103" s="19">
        <f>1521320.96+D108</f>
        <v>3184452.24</v>
      </c>
      <c r="E103" s="48">
        <v>2</v>
      </c>
      <c r="F103" s="27"/>
    </row>
    <row r="104" spans="1:6" ht="12.75" customHeight="1">
      <c r="A104" s="120" t="s">
        <v>2223</v>
      </c>
      <c r="B104" s="121"/>
      <c r="C104" s="122"/>
      <c r="D104" s="42">
        <f>1921863.4+D99</f>
        <v>3618041.25102</v>
      </c>
      <c r="E104" s="48">
        <v>3</v>
      </c>
      <c r="F104" s="37" t="s">
        <v>1352</v>
      </c>
    </row>
    <row r="105" spans="1:6" ht="12.75" customHeight="1">
      <c r="A105" s="114" t="s">
        <v>2224</v>
      </c>
      <c r="B105" s="115"/>
      <c r="C105" s="116"/>
      <c r="D105" s="19">
        <f>313532+D101</f>
        <v>602234.3200000001</v>
      </c>
      <c r="E105" s="48">
        <v>4</v>
      </c>
      <c r="F105" s="37" t="s">
        <v>791</v>
      </c>
    </row>
    <row r="106" spans="1:6" ht="13.5" customHeight="1">
      <c r="A106" s="114" t="s">
        <v>2225</v>
      </c>
      <c r="B106" s="115"/>
      <c r="C106" s="116"/>
      <c r="D106" s="19">
        <f>214306.4+D109</f>
        <v>444135.76</v>
      </c>
      <c r="E106" s="48">
        <v>5</v>
      </c>
      <c r="F106" s="14" t="s">
        <v>843</v>
      </c>
    </row>
    <row r="107" spans="1:6" ht="25.5" customHeight="1">
      <c r="A107" s="120" t="s">
        <v>2226</v>
      </c>
      <c r="B107" s="121"/>
      <c r="C107" s="122"/>
      <c r="D107" s="42">
        <f>1021960+D110</f>
        <v>1352762</v>
      </c>
      <c r="E107" s="48">
        <v>6</v>
      </c>
      <c r="F107" s="14" t="s">
        <v>844</v>
      </c>
    </row>
    <row r="108" spans="1:6" ht="12.75" customHeight="1">
      <c r="A108" s="114" t="s">
        <v>779</v>
      </c>
      <c r="B108" s="115"/>
      <c r="C108" s="116"/>
      <c r="D108" s="18">
        <v>1663131.28</v>
      </c>
      <c r="E108" s="48">
        <v>7</v>
      </c>
      <c r="F108" s="14" t="s">
        <v>845</v>
      </c>
    </row>
    <row r="109" spans="1:6" ht="12.75" customHeight="1">
      <c r="A109" s="114" t="s">
        <v>780</v>
      </c>
      <c r="B109" s="115"/>
      <c r="C109" s="116"/>
      <c r="D109" s="18">
        <v>229829.36</v>
      </c>
      <c r="E109" s="48">
        <v>8</v>
      </c>
      <c r="F109" s="14" t="s">
        <v>787</v>
      </c>
    </row>
    <row r="110" spans="1:6" ht="12.75" customHeight="1">
      <c r="A110" s="120" t="s">
        <v>781</v>
      </c>
      <c r="B110" s="121"/>
      <c r="C110" s="122"/>
      <c r="D110" s="41">
        <f>D92</f>
        <v>330802</v>
      </c>
      <c r="E110" s="48">
        <v>9</v>
      </c>
      <c r="F110" s="14" t="s">
        <v>846</v>
      </c>
    </row>
    <row r="111" spans="1:6" ht="30" customHeight="1">
      <c r="A111" s="108" t="s">
        <v>782</v>
      </c>
      <c r="B111" s="109"/>
      <c r="C111" s="110"/>
      <c r="D111" s="26">
        <f>D102-D104</f>
        <v>698701.3689800003</v>
      </c>
      <c r="E111" s="48">
        <v>10</v>
      </c>
      <c r="F111" s="14" t="s">
        <v>847</v>
      </c>
    </row>
    <row r="112" spans="1:6" ht="25.5" customHeight="1">
      <c r="A112" s="108" t="s">
        <v>717</v>
      </c>
      <c r="B112" s="109"/>
      <c r="C112" s="110"/>
      <c r="D112" s="26">
        <f>D105-D107</f>
        <v>-750527.6799999999</v>
      </c>
      <c r="E112" s="48">
        <v>11</v>
      </c>
      <c r="F112" s="14" t="s">
        <v>848</v>
      </c>
    </row>
    <row r="113" spans="1:6" ht="30.75" customHeight="1">
      <c r="A113" s="108" t="s">
        <v>718</v>
      </c>
      <c r="B113" s="109"/>
      <c r="C113" s="110"/>
      <c r="D113" s="26">
        <f>D103-D104</f>
        <v>-433589.0110199996</v>
      </c>
      <c r="E113" s="48">
        <v>12</v>
      </c>
      <c r="F113" s="43"/>
    </row>
    <row r="114" spans="5:6" ht="27" customHeight="1">
      <c r="E114" s="48">
        <v>13</v>
      </c>
      <c r="F114" s="43"/>
    </row>
    <row r="115" spans="5:6" ht="25.5" customHeight="1">
      <c r="E115" s="48">
        <v>14</v>
      </c>
      <c r="F115" s="43"/>
    </row>
    <row r="116" spans="5:6" ht="25.5" customHeight="1">
      <c r="E116" s="48">
        <v>15</v>
      </c>
      <c r="F116" s="43"/>
    </row>
    <row r="117" ht="12.75">
      <c r="F117" s="43"/>
    </row>
  </sheetData>
  <sheetProtection/>
  <mergeCells count="31">
    <mergeCell ref="A97:C97"/>
    <mergeCell ref="A98:C98"/>
    <mergeCell ref="A99:C99"/>
    <mergeCell ref="A109:C109"/>
    <mergeCell ref="A103:C103"/>
    <mergeCell ref="A104:C104"/>
    <mergeCell ref="A108:C108"/>
    <mergeCell ref="A84:C84"/>
    <mergeCell ref="A73:C73"/>
    <mergeCell ref="A87:C87"/>
    <mergeCell ref="A3:C3"/>
    <mergeCell ref="A4:C4"/>
    <mergeCell ref="A7:C7"/>
    <mergeCell ref="A55:C55"/>
    <mergeCell ref="A51:C51"/>
    <mergeCell ref="A112:C112"/>
    <mergeCell ref="A106:C106"/>
    <mergeCell ref="A105:C105"/>
    <mergeCell ref="A107:C107"/>
    <mergeCell ref="A110:C110"/>
    <mergeCell ref="A111:C111"/>
    <mergeCell ref="A1:D1"/>
    <mergeCell ref="A113:C113"/>
    <mergeCell ref="A8:C8"/>
    <mergeCell ref="A49:C49"/>
    <mergeCell ref="A101:C101"/>
    <mergeCell ref="A102:C102"/>
    <mergeCell ref="A68:C68"/>
    <mergeCell ref="A92:C92"/>
    <mergeCell ref="A96:C96"/>
    <mergeCell ref="A100:C100"/>
  </mergeCells>
  <printOptions/>
  <pageMargins left="0.28" right="0.17" top="0.42" bottom="0.19" header="0.37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8"/>
  <sheetViews>
    <sheetView zoomScalePageLayoutView="0" workbookViewId="0" topLeftCell="A1">
      <pane ySplit="2" topLeftCell="A105" activePane="bottomLeft" state="frozen"/>
      <selection pane="topLeft" activeCell="A1" sqref="A1"/>
      <selection pane="bottomLeft" activeCell="F95" sqref="F95"/>
    </sheetView>
  </sheetViews>
  <sheetFormatPr defaultColWidth="13.421875" defaultRowHeight="12.75" outlineLevelRow="2"/>
  <cols>
    <col min="1" max="1" width="12.42187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thickBot="1">
      <c r="A1" s="135" t="s">
        <v>1579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D4+D7</f>
        <v>113664.91</v>
      </c>
      <c r="E3" s="45"/>
    </row>
    <row r="4" spans="1:5" ht="12.75" outlineLevel="1">
      <c r="A4" s="117" t="s">
        <v>1354</v>
      </c>
      <c r="B4" s="118"/>
      <c r="C4" s="119"/>
      <c r="D4" s="28">
        <f>SUM(D5:D6)</f>
        <v>72325.87</v>
      </c>
      <c r="E4" s="46"/>
    </row>
    <row r="5" spans="1:5" ht="12.75" customHeight="1" outlineLevel="2">
      <c r="A5" s="8" t="s">
        <v>2016</v>
      </c>
      <c r="B5" s="29" t="s">
        <v>1960</v>
      </c>
      <c r="C5" s="7" t="s">
        <v>1991</v>
      </c>
      <c r="D5" s="16">
        <v>37730.95</v>
      </c>
      <c r="E5" s="61"/>
    </row>
    <row r="6" spans="1:5" ht="12.75" outlineLevel="2">
      <c r="A6" s="7" t="s">
        <v>818</v>
      </c>
      <c r="B6" s="29" t="s">
        <v>1960</v>
      </c>
      <c r="C6" s="13" t="s">
        <v>1991</v>
      </c>
      <c r="D6" s="30">
        <v>34594.92</v>
      </c>
      <c r="E6" s="46"/>
    </row>
    <row r="7" spans="1:5" ht="12.75" outlineLevel="1">
      <c r="A7" s="117" t="s">
        <v>1342</v>
      </c>
      <c r="B7" s="118"/>
      <c r="C7" s="119"/>
      <c r="D7" s="28">
        <f>SUM(D8:D8)</f>
        <v>41339.04</v>
      </c>
      <c r="E7" s="46"/>
    </row>
    <row r="8" spans="1:5" ht="12.75" outlineLevel="2">
      <c r="A8" s="7" t="s">
        <v>189</v>
      </c>
      <c r="B8" s="29" t="s">
        <v>1960</v>
      </c>
      <c r="C8" s="7" t="s">
        <v>190</v>
      </c>
      <c r="D8" s="30">
        <v>41339.04</v>
      </c>
      <c r="E8" s="46"/>
    </row>
    <row r="9" spans="1:5" ht="13.5" customHeight="1" thickBot="1">
      <c r="A9" s="124" t="s">
        <v>1343</v>
      </c>
      <c r="B9" s="124"/>
      <c r="C9" s="124"/>
      <c r="D9" s="25">
        <f>D10+D52+D58+D71+D77+D94+D98+D99</f>
        <v>1002387.59</v>
      </c>
      <c r="E9" s="45"/>
    </row>
    <row r="10" spans="1:5" ht="13.5" outlineLevel="1" thickTop="1">
      <c r="A10" s="111" t="s">
        <v>1354</v>
      </c>
      <c r="B10" s="112"/>
      <c r="C10" s="113"/>
      <c r="D10" s="28">
        <f>SUM(D11:D34)</f>
        <v>259706.87999999998</v>
      </c>
      <c r="E10" s="46"/>
    </row>
    <row r="11" spans="1:5" ht="25.5" customHeight="1" outlineLevel="2">
      <c r="A11" s="7" t="s">
        <v>1118</v>
      </c>
      <c r="B11" s="29" t="s">
        <v>849</v>
      </c>
      <c r="C11" s="7" t="s">
        <v>1121</v>
      </c>
      <c r="D11" s="30">
        <v>64520</v>
      </c>
      <c r="E11" s="46"/>
    </row>
    <row r="12" spans="1:5" ht="12.75" customHeight="1" outlineLevel="2">
      <c r="A12" s="7" t="s">
        <v>1744</v>
      </c>
      <c r="B12" s="29" t="s">
        <v>849</v>
      </c>
      <c r="C12" s="7" t="s">
        <v>1745</v>
      </c>
      <c r="D12" s="30">
        <v>468</v>
      </c>
      <c r="E12" s="46"/>
    </row>
    <row r="13" spans="1:5" ht="12.75" customHeight="1" outlineLevel="2">
      <c r="A13" s="7" t="s">
        <v>1947</v>
      </c>
      <c r="B13" s="29" t="s">
        <v>849</v>
      </c>
      <c r="C13" s="7" t="s">
        <v>1946</v>
      </c>
      <c r="D13" s="30">
        <v>21302</v>
      </c>
      <c r="E13" s="46"/>
    </row>
    <row r="14" spans="1:5" ht="12.75" customHeight="1" outlineLevel="2">
      <c r="A14" s="7" t="s">
        <v>2158</v>
      </c>
      <c r="B14" s="29" t="s">
        <v>849</v>
      </c>
      <c r="C14" s="7" t="s">
        <v>2159</v>
      </c>
      <c r="D14" s="30">
        <v>315</v>
      </c>
      <c r="E14" s="46"/>
    </row>
    <row r="15" spans="1:5" ht="12.75" customHeight="1" outlineLevel="2">
      <c r="A15" s="7" t="s">
        <v>2167</v>
      </c>
      <c r="B15" s="29" t="s">
        <v>849</v>
      </c>
      <c r="C15" s="7" t="s">
        <v>2164</v>
      </c>
      <c r="D15" s="30">
        <v>1305</v>
      </c>
      <c r="E15" s="46"/>
    </row>
    <row r="16" spans="1:5" ht="12.75" customHeight="1" outlineLevel="2">
      <c r="A16" s="7" t="s">
        <v>111</v>
      </c>
      <c r="B16" s="29" t="s">
        <v>1951</v>
      </c>
      <c r="C16" s="7" t="s">
        <v>112</v>
      </c>
      <c r="D16" s="30">
        <v>6456</v>
      </c>
      <c r="E16" s="46"/>
    </row>
    <row r="17" spans="1:5" ht="12.75" customHeight="1" outlineLevel="2">
      <c r="A17" s="7" t="s">
        <v>1674</v>
      </c>
      <c r="B17" s="29" t="s">
        <v>1952</v>
      </c>
      <c r="C17" s="7" t="s">
        <v>1675</v>
      </c>
      <c r="D17" s="30">
        <v>106870</v>
      </c>
      <c r="E17" s="46"/>
    </row>
    <row r="18" spans="1:5" ht="12.75" customHeight="1" outlineLevel="2">
      <c r="A18" s="7" t="s">
        <v>1689</v>
      </c>
      <c r="B18" s="29" t="s">
        <v>1952</v>
      </c>
      <c r="C18" s="7" t="s">
        <v>1691</v>
      </c>
      <c r="D18" s="30">
        <v>445</v>
      </c>
      <c r="E18" s="46"/>
    </row>
    <row r="19" spans="1:5" ht="12.75" customHeight="1" outlineLevel="2">
      <c r="A19" s="7" t="s">
        <v>19</v>
      </c>
      <c r="B19" s="29" t="s">
        <v>1952</v>
      </c>
      <c r="C19" s="7" t="s">
        <v>20</v>
      </c>
      <c r="D19" s="30">
        <v>2130</v>
      </c>
      <c r="E19" s="46"/>
    </row>
    <row r="20" spans="1:5" ht="12.75" customHeight="1" outlineLevel="2">
      <c r="A20" s="7" t="s">
        <v>30</v>
      </c>
      <c r="B20" s="29" t="s">
        <v>1952</v>
      </c>
      <c r="C20" s="7" t="s">
        <v>31</v>
      </c>
      <c r="D20" s="30">
        <v>2550</v>
      </c>
      <c r="E20" s="46"/>
    </row>
    <row r="21" spans="1:5" ht="12.75" customHeight="1" outlineLevel="2">
      <c r="A21" s="7" t="s">
        <v>484</v>
      </c>
      <c r="B21" s="29" t="s">
        <v>1952</v>
      </c>
      <c r="C21" s="7" t="s">
        <v>487</v>
      </c>
      <c r="D21" s="30">
        <v>819</v>
      </c>
      <c r="E21" s="46"/>
    </row>
    <row r="22" spans="1:5" ht="12.75" customHeight="1" outlineLevel="2">
      <c r="A22" s="7" t="s">
        <v>554</v>
      </c>
      <c r="B22" s="29" t="s">
        <v>1952</v>
      </c>
      <c r="C22" s="7" t="s">
        <v>2174</v>
      </c>
      <c r="D22" s="30">
        <v>378.8</v>
      </c>
      <c r="E22" s="46"/>
    </row>
    <row r="23" spans="1:5" ht="12.75" customHeight="1" outlineLevel="2">
      <c r="A23" s="7" t="s">
        <v>2409</v>
      </c>
      <c r="B23" s="29" t="s">
        <v>1953</v>
      </c>
      <c r="C23" s="7" t="s">
        <v>1294</v>
      </c>
      <c r="D23" s="30">
        <v>189.4</v>
      </c>
      <c r="E23" s="46"/>
    </row>
    <row r="24" spans="1:5" ht="12.75" customHeight="1" outlineLevel="2">
      <c r="A24" s="7" t="s">
        <v>2341</v>
      </c>
      <c r="B24" s="29" t="s">
        <v>1953</v>
      </c>
      <c r="C24" s="7" t="s">
        <v>2342</v>
      </c>
      <c r="D24" s="30">
        <v>1864</v>
      </c>
      <c r="E24" s="46"/>
    </row>
    <row r="25" spans="1:5" ht="12.75" customHeight="1" outlineLevel="2">
      <c r="A25" s="8" t="s">
        <v>1313</v>
      </c>
      <c r="B25" s="29" t="s">
        <v>1953</v>
      </c>
      <c r="C25" s="7" t="s">
        <v>666</v>
      </c>
      <c r="D25" s="31">
        <v>24.99</v>
      </c>
      <c r="E25" s="46"/>
    </row>
    <row r="26" spans="1:5" ht="12.75" customHeight="1" outlineLevel="2">
      <c r="A26" s="8" t="s">
        <v>2357</v>
      </c>
      <c r="B26" s="29" t="s">
        <v>1953</v>
      </c>
      <c r="C26" s="7" t="s">
        <v>2359</v>
      </c>
      <c r="D26" s="31">
        <v>2510</v>
      </c>
      <c r="E26" s="46"/>
    </row>
    <row r="27" spans="1:5" ht="12.75" customHeight="1" outlineLevel="2">
      <c r="A27" s="8" t="s">
        <v>2659</v>
      </c>
      <c r="B27" s="29" t="s">
        <v>1954</v>
      </c>
      <c r="C27" s="7" t="s">
        <v>2660</v>
      </c>
      <c r="D27" s="31">
        <v>3692</v>
      </c>
      <c r="E27" s="46"/>
    </row>
    <row r="28" spans="1:5" ht="12.75" customHeight="1" outlineLevel="2">
      <c r="A28" s="8" t="s">
        <v>2678</v>
      </c>
      <c r="B28" s="29" t="s">
        <v>1954</v>
      </c>
      <c r="C28" s="7" t="s">
        <v>2681</v>
      </c>
      <c r="D28" s="31">
        <v>311</v>
      </c>
      <c r="E28" s="46"/>
    </row>
    <row r="29" spans="1:5" ht="12.75" customHeight="1" outlineLevel="2">
      <c r="A29" s="8" t="s">
        <v>2686</v>
      </c>
      <c r="B29" s="29" t="s">
        <v>1954</v>
      </c>
      <c r="C29" s="7" t="s">
        <v>2689</v>
      </c>
      <c r="D29" s="31">
        <v>27135</v>
      </c>
      <c r="E29" s="46"/>
    </row>
    <row r="30" spans="1:5" ht="12.75" customHeight="1" outlineLevel="2">
      <c r="A30" s="8" t="s">
        <v>1266</v>
      </c>
      <c r="B30" s="29" t="s">
        <v>1954</v>
      </c>
      <c r="C30" s="7" t="s">
        <v>1268</v>
      </c>
      <c r="D30" s="31">
        <v>1320</v>
      </c>
      <c r="E30" s="46"/>
    </row>
    <row r="31" spans="1:5" ht="12.75" customHeight="1" outlineLevel="2">
      <c r="A31" s="8" t="s">
        <v>573</v>
      </c>
      <c r="B31" s="29" t="s">
        <v>1954</v>
      </c>
      <c r="C31" s="7" t="s">
        <v>559</v>
      </c>
      <c r="D31" s="31">
        <v>349.8</v>
      </c>
      <c r="E31" s="46"/>
    </row>
    <row r="32" spans="1:5" ht="12.75" customHeight="1" outlineLevel="2">
      <c r="A32" s="8" t="s">
        <v>2773</v>
      </c>
      <c r="B32" s="29" t="s">
        <v>1954</v>
      </c>
      <c r="C32" s="7" t="s">
        <v>2774</v>
      </c>
      <c r="D32" s="31">
        <v>5687.2</v>
      </c>
      <c r="E32" s="46"/>
    </row>
    <row r="33" spans="1:5" ht="12.75" customHeight="1" outlineLevel="2">
      <c r="A33" s="8" t="s">
        <v>176</v>
      </c>
      <c r="B33" s="29" t="s">
        <v>1955</v>
      </c>
      <c r="C33" s="7" t="s">
        <v>177</v>
      </c>
      <c r="D33" s="31">
        <v>1344</v>
      </c>
      <c r="E33" s="46"/>
    </row>
    <row r="34" spans="1:5" ht="12.75" customHeight="1" outlineLevel="2">
      <c r="A34" s="7" t="s">
        <v>1931</v>
      </c>
      <c r="B34" s="7" t="s">
        <v>1955</v>
      </c>
      <c r="C34" s="7" t="s">
        <v>424</v>
      </c>
      <c r="D34" s="16">
        <v>7720.69</v>
      </c>
      <c r="E34" s="61"/>
    </row>
    <row r="35" spans="1:5" ht="12.75" customHeight="1" outlineLevel="2">
      <c r="A35" s="7" t="s">
        <v>1066</v>
      </c>
      <c r="B35" s="7" t="s">
        <v>1956</v>
      </c>
      <c r="C35" s="7" t="s">
        <v>1067</v>
      </c>
      <c r="D35" s="16">
        <v>33.31</v>
      </c>
      <c r="E35" s="61"/>
    </row>
    <row r="36" spans="1:5" ht="12.75" customHeight="1" outlineLevel="2">
      <c r="A36" s="7" t="s">
        <v>422</v>
      </c>
      <c r="B36" s="7" t="s">
        <v>1957</v>
      </c>
      <c r="C36" s="7" t="s">
        <v>423</v>
      </c>
      <c r="D36" s="16">
        <v>6856</v>
      </c>
      <c r="E36" s="61"/>
    </row>
    <row r="37" spans="1:5" ht="12.75" customHeight="1" outlineLevel="2">
      <c r="A37" s="7" t="s">
        <v>2717</v>
      </c>
      <c r="B37" s="7" t="s">
        <v>1957</v>
      </c>
      <c r="C37" s="7" t="s">
        <v>2235</v>
      </c>
      <c r="D37" s="16">
        <v>6720</v>
      </c>
      <c r="E37" s="61"/>
    </row>
    <row r="38" spans="1:5" ht="12.75" customHeight="1" outlineLevel="2">
      <c r="A38" s="7" t="s">
        <v>1241</v>
      </c>
      <c r="B38" s="7" t="s">
        <v>1957</v>
      </c>
      <c r="C38" s="7" t="s">
        <v>1245</v>
      </c>
      <c r="D38" s="16">
        <f>1777+732</f>
        <v>2509</v>
      </c>
      <c r="E38" s="61"/>
    </row>
    <row r="39" spans="1:5" ht="12.75" customHeight="1" outlineLevel="2">
      <c r="A39" s="8" t="s">
        <v>2148</v>
      </c>
      <c r="B39" s="29" t="s">
        <v>1959</v>
      </c>
      <c r="C39" s="7" t="s">
        <v>1186</v>
      </c>
      <c r="D39" s="16">
        <v>3524</v>
      </c>
      <c r="E39" s="61"/>
    </row>
    <row r="40" spans="1:5" ht="12.75" customHeight="1" outlineLevel="2">
      <c r="A40" s="8" t="s">
        <v>395</v>
      </c>
      <c r="B40" s="29" t="s">
        <v>1959</v>
      </c>
      <c r="C40" s="7" t="s">
        <v>396</v>
      </c>
      <c r="D40" s="16">
        <v>2062.68</v>
      </c>
      <c r="E40" s="61"/>
    </row>
    <row r="41" spans="1:5" ht="12.75" customHeight="1" outlineLevel="2">
      <c r="A41" s="8" t="s">
        <v>1152</v>
      </c>
      <c r="B41" s="29" t="s">
        <v>1959</v>
      </c>
      <c r="C41" s="7" t="s">
        <v>2727</v>
      </c>
      <c r="D41" s="16">
        <v>5337.07</v>
      </c>
      <c r="E41" s="61"/>
    </row>
    <row r="42" spans="1:4" ht="12.75" outlineLevel="2">
      <c r="A42" s="8" t="s">
        <v>2148</v>
      </c>
      <c r="B42" s="29" t="s">
        <v>1959</v>
      </c>
      <c r="C42" s="7" t="s">
        <v>1186</v>
      </c>
      <c r="D42" s="16">
        <v>3524</v>
      </c>
    </row>
    <row r="43" spans="1:5" ht="12.75" customHeight="1" outlineLevel="2">
      <c r="A43" s="8" t="s">
        <v>801</v>
      </c>
      <c r="B43" s="29" t="s">
        <v>1960</v>
      </c>
      <c r="C43" s="7" t="s">
        <v>802</v>
      </c>
      <c r="D43" s="16">
        <v>5549.58</v>
      </c>
      <c r="E43" s="61"/>
    </row>
    <row r="44" spans="1:5" ht="12.75" customHeight="1" outlineLevel="2">
      <c r="A44" s="8" t="s">
        <v>282</v>
      </c>
      <c r="B44" s="29" t="s">
        <v>1960</v>
      </c>
      <c r="C44" s="7" t="s">
        <v>283</v>
      </c>
      <c r="D44" s="16">
        <v>32757.06</v>
      </c>
      <c r="E44" s="61"/>
    </row>
    <row r="45" spans="1:5" ht="12.75" customHeight="1" outlineLevel="2">
      <c r="A45" s="8" t="s">
        <v>292</v>
      </c>
      <c r="B45" s="29" t="s">
        <v>1960</v>
      </c>
      <c r="C45" s="7" t="s">
        <v>293</v>
      </c>
      <c r="D45" s="16">
        <v>7078.27</v>
      </c>
      <c r="E45" s="61"/>
    </row>
    <row r="46" spans="1:5" ht="12.75" customHeight="1" outlineLevel="2">
      <c r="A46" s="8" t="s">
        <v>182</v>
      </c>
      <c r="B46" s="29" t="s">
        <v>1960</v>
      </c>
      <c r="C46" s="7" t="s">
        <v>188</v>
      </c>
      <c r="D46" s="16">
        <v>1502.98</v>
      </c>
      <c r="E46" s="61"/>
    </row>
    <row r="47" spans="1:5" ht="12.75" customHeight="1" outlineLevel="2">
      <c r="A47" s="8" t="s">
        <v>918</v>
      </c>
      <c r="B47" s="29" t="s">
        <v>1960</v>
      </c>
      <c r="C47" s="7" t="s">
        <v>919</v>
      </c>
      <c r="D47" s="16">
        <v>2272.8</v>
      </c>
      <c r="E47" s="61"/>
    </row>
    <row r="48" spans="1:5" ht="12.75" customHeight="1" outlineLevel="2">
      <c r="A48" s="8" t="s">
        <v>1719</v>
      </c>
      <c r="B48" s="29" t="s">
        <v>1961</v>
      </c>
      <c r="C48" s="8" t="s">
        <v>186</v>
      </c>
      <c r="D48" s="16">
        <v>644</v>
      </c>
      <c r="E48" s="61"/>
    </row>
    <row r="49" spans="1:5" ht="12.75" customHeight="1" outlineLevel="2">
      <c r="A49" s="8" t="s">
        <v>1412</v>
      </c>
      <c r="B49" s="29" t="s">
        <v>1961</v>
      </c>
      <c r="C49" s="8" t="s">
        <v>1413</v>
      </c>
      <c r="D49" s="16">
        <v>2129</v>
      </c>
      <c r="E49" s="61"/>
    </row>
    <row r="50" spans="1:5" ht="12.75" customHeight="1" outlineLevel="2">
      <c r="A50" s="55" t="s">
        <v>1449</v>
      </c>
      <c r="B50" s="52" t="s">
        <v>1961</v>
      </c>
      <c r="C50" s="55" t="s">
        <v>1450</v>
      </c>
      <c r="D50" s="16">
        <v>45260.75</v>
      </c>
      <c r="E50" s="61"/>
    </row>
    <row r="51" spans="1:5" ht="12.75" customHeight="1" outlineLevel="2">
      <c r="A51" s="55" t="s">
        <v>1507</v>
      </c>
      <c r="B51" s="52" t="s">
        <v>1961</v>
      </c>
      <c r="C51" s="55" t="s">
        <v>1508</v>
      </c>
      <c r="D51" s="16">
        <v>1073.41</v>
      </c>
      <c r="E51" s="61"/>
    </row>
    <row r="52" spans="1:5" ht="12.75" outlineLevel="1">
      <c r="A52" s="117" t="s">
        <v>1342</v>
      </c>
      <c r="B52" s="118"/>
      <c r="C52" s="119"/>
      <c r="D52" s="28">
        <f>SUM(D53:D57)</f>
        <v>140014</v>
      </c>
      <c r="E52" s="46"/>
    </row>
    <row r="53" spans="1:5" ht="12.75" outlineLevel="2">
      <c r="A53" s="7" t="s">
        <v>2532</v>
      </c>
      <c r="B53" s="29" t="s">
        <v>1953</v>
      </c>
      <c r="C53" s="7" t="s">
        <v>2533</v>
      </c>
      <c r="D53" s="30">
        <v>53747</v>
      </c>
      <c r="E53" s="46"/>
    </row>
    <row r="54" spans="1:5" ht="12.75" outlineLevel="2">
      <c r="A54" s="7" t="s">
        <v>1292</v>
      </c>
      <c r="B54" s="29" t="s">
        <v>1953</v>
      </c>
      <c r="C54" s="7" t="s">
        <v>1293</v>
      </c>
      <c r="D54" s="30">
        <v>16571</v>
      </c>
      <c r="E54" s="46"/>
    </row>
    <row r="55" spans="1:5" ht="12.75" outlineLevel="2">
      <c r="A55" s="7" t="s">
        <v>1018</v>
      </c>
      <c r="B55" s="29" t="s">
        <v>1955</v>
      </c>
      <c r="C55" s="7" t="s">
        <v>1019</v>
      </c>
      <c r="D55" s="30">
        <v>27877</v>
      </c>
      <c r="E55" s="46"/>
    </row>
    <row r="56" spans="1:5" ht="12.75" outlineLevel="2">
      <c r="A56" s="7" t="s">
        <v>1224</v>
      </c>
      <c r="B56" s="29" t="s">
        <v>1957</v>
      </c>
      <c r="C56" s="7" t="s">
        <v>1226</v>
      </c>
      <c r="D56" s="30">
        <v>23256</v>
      </c>
      <c r="E56" s="46"/>
    </row>
    <row r="57" spans="1:5" ht="12.75" outlineLevel="2">
      <c r="A57" s="7" t="s">
        <v>1153</v>
      </c>
      <c r="B57" s="29" t="s">
        <v>1959</v>
      </c>
      <c r="C57" s="7" t="s">
        <v>1154</v>
      </c>
      <c r="D57" s="30">
        <v>18563</v>
      </c>
      <c r="E57" s="46"/>
    </row>
    <row r="58" spans="1:5" ht="12.75" outlineLevel="1">
      <c r="A58" s="117" t="s">
        <v>1344</v>
      </c>
      <c r="B58" s="118"/>
      <c r="C58" s="119"/>
      <c r="D58" s="28">
        <f>SUM(D59:D70)</f>
        <v>367388.14</v>
      </c>
      <c r="E58" s="46"/>
    </row>
    <row r="59" spans="1:5" ht="12.75" outlineLevel="2">
      <c r="A59" s="7"/>
      <c r="B59" s="29" t="s">
        <v>849</v>
      </c>
      <c r="C59" s="7" t="s">
        <v>1962</v>
      </c>
      <c r="D59" s="30">
        <f>7024.6+6135.41+3645.68+8625.14+3734.6+2311.89</f>
        <v>31477.319999999996</v>
      </c>
      <c r="E59" s="46"/>
    </row>
    <row r="60" spans="1:5" ht="12.75" outlineLevel="2">
      <c r="A60" s="7"/>
      <c r="B60" s="29" t="s">
        <v>1951</v>
      </c>
      <c r="C60" s="7" t="s">
        <v>1962</v>
      </c>
      <c r="D60" s="30">
        <f>7024.6+6135.41+3645.68+8625.14+3734.6+2311.89</f>
        <v>31477.319999999996</v>
      </c>
      <c r="E60" s="46"/>
    </row>
    <row r="61" spans="1:5" ht="12.75" outlineLevel="2">
      <c r="A61" s="7"/>
      <c r="B61" s="29" t="s">
        <v>1952</v>
      </c>
      <c r="C61" s="7" t="s">
        <v>1962</v>
      </c>
      <c r="D61" s="30">
        <f>7024.6+4908.33+3645.68+8625.14+3734.6+2311.89+533.51</f>
        <v>30783.749999999996</v>
      </c>
      <c r="E61" s="46"/>
    </row>
    <row r="62" spans="1:5" ht="12.75" outlineLevel="2">
      <c r="A62" s="7"/>
      <c r="B62" s="29" t="s">
        <v>1953</v>
      </c>
      <c r="C62" s="7" t="s">
        <v>1962</v>
      </c>
      <c r="D62" s="30">
        <f>7024.6+5424.06+12270.82+3556.76+2311.89+533.51</f>
        <v>31121.639999999996</v>
      </c>
      <c r="E62" s="46"/>
    </row>
    <row r="63" spans="1:5" ht="12.75" outlineLevel="2">
      <c r="A63" s="7"/>
      <c r="B63" s="29" t="s">
        <v>1954</v>
      </c>
      <c r="C63" s="7" t="s">
        <v>1962</v>
      </c>
      <c r="D63" s="30">
        <f>4355.25+4712.71+12092.98+3290+2222.98+533.51</f>
        <v>27207.429999999997</v>
      </c>
      <c r="E63" s="46"/>
    </row>
    <row r="64" spans="1:5" ht="12.75" outlineLevel="2">
      <c r="A64" s="7"/>
      <c r="B64" s="29" t="s">
        <v>1955</v>
      </c>
      <c r="C64" s="7" t="s">
        <v>1962</v>
      </c>
      <c r="D64" s="30">
        <f>512.3+2356.35+6135.41+1645+1111.49+88.92</f>
        <v>11849.47</v>
      </c>
      <c r="E64" s="46"/>
    </row>
    <row r="65" spans="1:5" ht="12.75" outlineLevel="2">
      <c r="A65" s="7"/>
      <c r="B65" s="29" t="s">
        <v>1956</v>
      </c>
      <c r="C65" s="7" t="s">
        <v>1962</v>
      </c>
      <c r="D65" s="30">
        <f>7824.87+5246.22+13693.53+3645.68+2489.73</f>
        <v>32900.030000000006</v>
      </c>
      <c r="E65" s="46"/>
    </row>
    <row r="66" spans="1:5" ht="12.75" outlineLevel="2">
      <c r="A66" s="7"/>
      <c r="B66" s="29" t="s">
        <v>1957</v>
      </c>
      <c r="C66" s="7" t="s">
        <v>1962</v>
      </c>
      <c r="D66" s="30">
        <f>7824.87+5246.22+13693.53+3645.68+2489.73+1600.54</f>
        <v>34500.57000000001</v>
      </c>
      <c r="E66" s="46"/>
    </row>
    <row r="67" spans="1:5" ht="12.75" outlineLevel="2">
      <c r="A67" s="7"/>
      <c r="B67" s="29" t="s">
        <v>1958</v>
      </c>
      <c r="C67" s="7" t="s">
        <v>1962</v>
      </c>
      <c r="D67" s="30">
        <f>7824.87+5246.22+13693.53+3645.68+2489.73+202.44</f>
        <v>33102.47000000001</v>
      </c>
      <c r="E67" s="46"/>
    </row>
    <row r="68" spans="1:5" ht="12.75" outlineLevel="2">
      <c r="A68" s="7"/>
      <c r="B68" s="29" t="s">
        <v>1959</v>
      </c>
      <c r="C68" s="7" t="s">
        <v>1962</v>
      </c>
      <c r="D68" s="30">
        <f>7824.84+5246.22+13693.53+3645.68+2489.73</f>
        <v>32900.00000000001</v>
      </c>
      <c r="E68" s="46"/>
    </row>
    <row r="69" spans="1:5" ht="12.75" outlineLevel="2">
      <c r="A69" s="7"/>
      <c r="B69" s="29" t="s">
        <v>1960</v>
      </c>
      <c r="C69" s="7" t="s">
        <v>1962</v>
      </c>
      <c r="D69" s="30">
        <f>7824.87+6846.76+4090.27+9603.25+4179.19+2489.73</f>
        <v>35034.07</v>
      </c>
      <c r="E69" s="46"/>
    </row>
    <row r="70" spans="1:5" ht="12.75" outlineLevel="2">
      <c r="A70" s="11"/>
      <c r="B70" s="29" t="s">
        <v>1961</v>
      </c>
      <c r="C70" s="7" t="s">
        <v>1962</v>
      </c>
      <c r="D70" s="30">
        <f>7824.87+6846.76+4090.27+9603.25+4179.19+2489.73</f>
        <v>35034.07</v>
      </c>
      <c r="E70" s="46"/>
    </row>
    <row r="71" spans="1:5" ht="12.75" outlineLevel="1">
      <c r="A71" s="117" t="s">
        <v>1346</v>
      </c>
      <c r="B71" s="118"/>
      <c r="C71" s="119"/>
      <c r="D71" s="28">
        <f>SUM(D72:D76)</f>
        <v>10691.66</v>
      </c>
      <c r="E71" s="46"/>
    </row>
    <row r="72" spans="1:5" ht="12.75" outlineLevel="2">
      <c r="A72" s="7" t="s">
        <v>1711</v>
      </c>
      <c r="B72" s="29" t="s">
        <v>849</v>
      </c>
      <c r="C72" s="7" t="s">
        <v>1712</v>
      </c>
      <c r="D72" s="30">
        <v>1175</v>
      </c>
      <c r="E72" s="46"/>
    </row>
    <row r="73" spans="1:5" ht="12.75" outlineLevel="2">
      <c r="A73" s="51" t="s">
        <v>2195</v>
      </c>
      <c r="B73" s="52" t="s">
        <v>849</v>
      </c>
      <c r="C73" s="51" t="s">
        <v>2190</v>
      </c>
      <c r="D73" s="30">
        <v>905.66</v>
      </c>
      <c r="E73" s="46"/>
    </row>
    <row r="74" spans="1:5" ht="12.75" outlineLevel="2">
      <c r="A74" s="7" t="s">
        <v>711</v>
      </c>
      <c r="B74" s="29" t="s">
        <v>1957</v>
      </c>
      <c r="C74" s="7" t="s">
        <v>709</v>
      </c>
      <c r="D74" s="30">
        <v>7311</v>
      </c>
      <c r="E74" s="46"/>
    </row>
    <row r="75" spans="1:5" ht="12.75" outlineLevel="2">
      <c r="A75" s="7" t="s">
        <v>1703</v>
      </c>
      <c r="B75" s="29" t="s">
        <v>1957</v>
      </c>
      <c r="C75" s="7" t="s">
        <v>1702</v>
      </c>
      <c r="D75" s="30">
        <v>750</v>
      </c>
      <c r="E75" s="46"/>
    </row>
    <row r="76" spans="1:5" ht="12.75" outlineLevel="2">
      <c r="A76" s="51" t="s">
        <v>220</v>
      </c>
      <c r="B76" s="52" t="s">
        <v>1961</v>
      </c>
      <c r="C76" s="51" t="s">
        <v>221</v>
      </c>
      <c r="D76" s="30">
        <v>550</v>
      </c>
      <c r="E76" s="46"/>
    </row>
    <row r="77" spans="1:5" ht="12.75" outlineLevel="1">
      <c r="A77" s="117" t="s">
        <v>1341</v>
      </c>
      <c r="B77" s="118"/>
      <c r="C77" s="119"/>
      <c r="D77" s="28">
        <f>SUM(D78:D93)</f>
        <v>35471.45</v>
      </c>
      <c r="E77" s="46"/>
    </row>
    <row r="78" spans="1:5" ht="12.75" outlineLevel="2">
      <c r="A78" s="7" t="s">
        <v>136</v>
      </c>
      <c r="B78" s="29" t="s">
        <v>849</v>
      </c>
      <c r="C78" s="7" t="s">
        <v>138</v>
      </c>
      <c r="D78" s="30">
        <v>181.73</v>
      </c>
      <c r="E78" s="46"/>
    </row>
    <row r="79" spans="1:5" ht="12.75" outlineLevel="2">
      <c r="A79" s="7" t="s">
        <v>1724</v>
      </c>
      <c r="B79" s="29" t="s">
        <v>849</v>
      </c>
      <c r="C79" s="7" t="s">
        <v>1725</v>
      </c>
      <c r="D79" s="30">
        <v>2650</v>
      </c>
      <c r="E79" s="46"/>
    </row>
    <row r="80" spans="1:5" ht="12.75" outlineLevel="2">
      <c r="A80" s="7" t="s">
        <v>1726</v>
      </c>
      <c r="B80" s="29" t="s">
        <v>849</v>
      </c>
      <c r="C80" s="7" t="s">
        <v>1728</v>
      </c>
      <c r="D80" s="30">
        <v>470</v>
      </c>
      <c r="E80" s="46"/>
    </row>
    <row r="81" spans="1:5" ht="12.75" outlineLevel="2">
      <c r="A81" s="7" t="s">
        <v>1784</v>
      </c>
      <c r="B81" s="29" t="s">
        <v>849</v>
      </c>
      <c r="C81" s="7" t="s">
        <v>1880</v>
      </c>
      <c r="D81" s="30">
        <v>357</v>
      </c>
      <c r="E81" s="46"/>
    </row>
    <row r="82" spans="1:5" ht="12.75" outlineLevel="2">
      <c r="A82" s="7" t="s">
        <v>1902</v>
      </c>
      <c r="B82" s="29" t="s">
        <v>849</v>
      </c>
      <c r="C82" s="7" t="s">
        <v>1903</v>
      </c>
      <c r="D82" s="30">
        <v>3212</v>
      </c>
      <c r="E82" s="46"/>
    </row>
    <row r="83" spans="1:5" ht="12.75" outlineLevel="2">
      <c r="A83" s="7" t="s">
        <v>119</v>
      </c>
      <c r="B83" s="29" t="s">
        <v>1951</v>
      </c>
      <c r="C83" s="7" t="s">
        <v>2802</v>
      </c>
      <c r="D83" s="30">
        <v>2324</v>
      </c>
      <c r="E83" s="46"/>
    </row>
    <row r="84" spans="1:5" ht="12.75" outlineLevel="2">
      <c r="A84" s="51" t="s">
        <v>663</v>
      </c>
      <c r="B84" s="52" t="s">
        <v>1951</v>
      </c>
      <c r="C84" s="51" t="s">
        <v>664</v>
      </c>
      <c r="D84" s="30">
        <v>3780</v>
      </c>
      <c r="E84" s="46"/>
    </row>
    <row r="85" spans="1:5" ht="12.75" outlineLevel="2">
      <c r="A85" s="7" t="s">
        <v>538</v>
      </c>
      <c r="B85" s="29" t="s">
        <v>1952</v>
      </c>
      <c r="C85" s="7" t="s">
        <v>539</v>
      </c>
      <c r="D85" s="30">
        <v>3261</v>
      </c>
      <c r="E85" s="46"/>
    </row>
    <row r="86" spans="1:5" ht="12.75" outlineLevel="2">
      <c r="A86" s="7" t="s">
        <v>2470</v>
      </c>
      <c r="B86" s="29" t="s">
        <v>1953</v>
      </c>
      <c r="C86" s="7" t="s">
        <v>2473</v>
      </c>
      <c r="D86" s="30">
        <v>871</v>
      </c>
      <c r="E86" s="46"/>
    </row>
    <row r="87" spans="1:5" ht="12.75" outlineLevel="2">
      <c r="A87" s="7" t="s">
        <v>597</v>
      </c>
      <c r="B87" s="29" t="s">
        <v>1954</v>
      </c>
      <c r="C87" s="7" t="s">
        <v>2267</v>
      </c>
      <c r="D87" s="30">
        <v>960</v>
      </c>
      <c r="E87" s="46"/>
    </row>
    <row r="88" spans="1:5" ht="12.75" outlineLevel="2">
      <c r="A88" s="7" t="s">
        <v>2268</v>
      </c>
      <c r="B88" s="29" t="s">
        <v>1954</v>
      </c>
      <c r="C88" s="7" t="s">
        <v>2269</v>
      </c>
      <c r="D88" s="30">
        <v>960</v>
      </c>
      <c r="E88" s="46"/>
    </row>
    <row r="89" spans="1:5" ht="12.75" outlineLevel="2">
      <c r="A89" s="7" t="s">
        <v>1048</v>
      </c>
      <c r="B89" s="29" t="s">
        <v>1955</v>
      </c>
      <c r="C89" s="7" t="s">
        <v>1049</v>
      </c>
      <c r="D89" s="30">
        <v>101</v>
      </c>
      <c r="E89" s="46"/>
    </row>
    <row r="90" spans="1:5" ht="12.75" outlineLevel="2">
      <c r="A90" s="7" t="s">
        <v>2437</v>
      </c>
      <c r="B90" s="29" t="s">
        <v>1959</v>
      </c>
      <c r="C90" s="7" t="s">
        <v>2433</v>
      </c>
      <c r="D90" s="30">
        <v>569.9</v>
      </c>
      <c r="E90" s="46"/>
    </row>
    <row r="91" spans="1:5" ht="12.75" outlineLevel="2">
      <c r="A91" s="7" t="s">
        <v>2029</v>
      </c>
      <c r="B91" s="29" t="s">
        <v>1960</v>
      </c>
      <c r="C91" s="7" t="s">
        <v>2030</v>
      </c>
      <c r="D91" s="30">
        <v>15086.69</v>
      </c>
      <c r="E91" s="46"/>
    </row>
    <row r="92" spans="1:5" ht="12.75" outlineLevel="2">
      <c r="A92" s="7" t="s">
        <v>244</v>
      </c>
      <c r="B92" s="29" t="s">
        <v>1960</v>
      </c>
      <c r="C92" s="7" t="s">
        <v>246</v>
      </c>
      <c r="D92" s="30">
        <v>335.25</v>
      </c>
      <c r="E92" s="46"/>
    </row>
    <row r="93" spans="1:5" ht="12.75" outlineLevel="2">
      <c r="A93" s="7" t="s">
        <v>218</v>
      </c>
      <c r="B93" s="29" t="s">
        <v>1961</v>
      </c>
      <c r="C93" s="7" t="s">
        <v>1384</v>
      </c>
      <c r="D93" s="30">
        <v>351.88</v>
      </c>
      <c r="E93" s="46"/>
    </row>
    <row r="94" spans="1:5" ht="12.75" outlineLevel="1">
      <c r="A94" s="117" t="s">
        <v>1347</v>
      </c>
      <c r="B94" s="118"/>
      <c r="C94" s="119"/>
      <c r="D94" s="28">
        <f>SUM(D95:D95)</f>
        <v>12186.62</v>
      </c>
      <c r="E94" s="46"/>
    </row>
    <row r="95" spans="1:5" ht="12.75" outlineLevel="2">
      <c r="A95" s="11"/>
      <c r="B95" s="29"/>
      <c r="C95" s="7" t="s">
        <v>239</v>
      </c>
      <c r="D95" s="30">
        <v>12186.62</v>
      </c>
      <c r="E95" s="46"/>
    </row>
    <row r="96" spans="1:5" ht="12.75" customHeight="1">
      <c r="A96" s="129" t="s">
        <v>1349</v>
      </c>
      <c r="B96" s="130"/>
      <c r="C96" s="131"/>
      <c r="D96" s="32">
        <f>SUM(D97:D97)</f>
        <v>298095</v>
      </c>
      <c r="E96" s="45"/>
    </row>
    <row r="97" spans="1:5" ht="12.75" outlineLevel="1">
      <c r="A97" s="13" t="s">
        <v>48</v>
      </c>
      <c r="B97" s="29" t="s">
        <v>1961</v>
      </c>
      <c r="C97" s="13" t="s">
        <v>46</v>
      </c>
      <c r="D97" s="36">
        <v>298095</v>
      </c>
      <c r="E97" s="46"/>
    </row>
    <row r="98" spans="1:6" ht="12.75">
      <c r="A98" s="6">
        <v>8935.8</v>
      </c>
      <c r="B98" s="6" t="s">
        <v>1356</v>
      </c>
      <c r="C98" s="37" t="s">
        <v>1345</v>
      </c>
      <c r="D98" s="23">
        <f>(8935.8*6*1.46)+(8935.8*6*1.63)</f>
        <v>165669.73199999996</v>
      </c>
      <c r="E98" s="46"/>
      <c r="F98" s="37" t="s">
        <v>1352</v>
      </c>
    </row>
    <row r="99" spans="1:6" ht="13.5" thickBot="1">
      <c r="A99" s="6">
        <v>8935.8</v>
      </c>
      <c r="B99" s="6" t="s">
        <v>1356</v>
      </c>
      <c r="C99" s="37" t="s">
        <v>1357</v>
      </c>
      <c r="D99" s="23">
        <f>(8935.8*6*0.1)+(8935.8*6*0.11)</f>
        <v>11259.108</v>
      </c>
      <c r="E99" s="46"/>
      <c r="F99" s="37" t="s">
        <v>1351</v>
      </c>
    </row>
    <row r="100" spans="1:6" ht="12.75" customHeight="1" thickTop="1">
      <c r="A100" s="132" t="s">
        <v>1361</v>
      </c>
      <c r="B100" s="133"/>
      <c r="C100" s="134"/>
      <c r="D100" s="76">
        <f>(8935.8*6*0.94)+(8935.8*6*1.03)</f>
        <v>105621.15599999999</v>
      </c>
      <c r="E100" s="48"/>
      <c r="F100" s="14" t="s">
        <v>787</v>
      </c>
    </row>
    <row r="101" spans="1:6" ht="12.75" customHeight="1">
      <c r="A101" s="125" t="s">
        <v>1350</v>
      </c>
      <c r="B101" s="126"/>
      <c r="C101" s="127"/>
      <c r="D101" s="76">
        <f>(8935.8*6*1.57)+(8935.8*6*1.75)</f>
        <v>178001.136</v>
      </c>
      <c r="E101" s="48"/>
      <c r="F101" s="14" t="s">
        <v>788</v>
      </c>
    </row>
    <row r="102" spans="1:6" ht="12.75" customHeight="1">
      <c r="A102" s="125" t="s">
        <v>1362</v>
      </c>
      <c r="B102" s="126"/>
      <c r="C102" s="127"/>
      <c r="D102" s="16">
        <f>10.3*(D104+D105)/100</f>
        <v>250013.0433</v>
      </c>
      <c r="E102" s="48"/>
      <c r="F102" s="14" t="s">
        <v>789</v>
      </c>
    </row>
    <row r="103" spans="1:6" ht="12.75" customHeight="1">
      <c r="A103" s="120" t="s">
        <v>1363</v>
      </c>
      <c r="B103" s="121"/>
      <c r="C103" s="122"/>
      <c r="D103" s="41">
        <f>D102+D101+D100+D9+D3</f>
        <v>1649687.8352999997</v>
      </c>
      <c r="E103" s="48">
        <v>1</v>
      </c>
      <c r="F103" s="14" t="s">
        <v>790</v>
      </c>
    </row>
    <row r="104" spans="1:6" ht="12.75" customHeight="1">
      <c r="A104" s="114" t="s">
        <v>1364</v>
      </c>
      <c r="B104" s="115"/>
      <c r="C104" s="116"/>
      <c r="D104" s="18">
        <v>2132605.11</v>
      </c>
      <c r="E104" s="48">
        <v>2</v>
      </c>
      <c r="F104" s="27"/>
    </row>
    <row r="105" spans="1:6" ht="12.75" customHeight="1">
      <c r="A105" s="114" t="s">
        <v>1365</v>
      </c>
      <c r="B105" s="115"/>
      <c r="C105" s="116"/>
      <c r="D105" s="18">
        <v>294705.99</v>
      </c>
      <c r="E105" s="48">
        <v>3</v>
      </c>
      <c r="F105" s="37" t="s">
        <v>1352</v>
      </c>
    </row>
    <row r="106" spans="1:6" ht="12.75" customHeight="1">
      <c r="A106" s="114" t="s">
        <v>2221</v>
      </c>
      <c r="B106" s="115"/>
      <c r="C106" s="116"/>
      <c r="D106" s="19">
        <f>2310345.92+D104</f>
        <v>4442951.029999999</v>
      </c>
      <c r="E106" s="48">
        <v>4</v>
      </c>
      <c r="F106" s="37" t="s">
        <v>791</v>
      </c>
    </row>
    <row r="107" spans="1:6" ht="13.5" customHeight="1">
      <c r="A107" s="114" t="s">
        <v>2222</v>
      </c>
      <c r="B107" s="115"/>
      <c r="C107" s="116"/>
      <c r="D107" s="19">
        <f>1660307.77+D112</f>
        <v>3441496.26</v>
      </c>
      <c r="E107" s="48">
        <v>5</v>
      </c>
      <c r="F107" s="14" t="s">
        <v>843</v>
      </c>
    </row>
    <row r="108" spans="1:6" ht="25.5" customHeight="1">
      <c r="A108" s="120" t="s">
        <v>2223</v>
      </c>
      <c r="B108" s="121"/>
      <c r="C108" s="122"/>
      <c r="D108" s="42">
        <f>2145090.42+D103</f>
        <v>3794778.2552999994</v>
      </c>
      <c r="E108" s="48">
        <v>6</v>
      </c>
      <c r="F108" s="14" t="s">
        <v>844</v>
      </c>
    </row>
    <row r="109" spans="1:6" ht="12.75" customHeight="1">
      <c r="A109" s="114" t="s">
        <v>2224</v>
      </c>
      <c r="B109" s="115"/>
      <c r="C109" s="116"/>
      <c r="D109" s="19">
        <f>319017.8+D105</f>
        <v>613723.79</v>
      </c>
      <c r="E109" s="48">
        <v>7</v>
      </c>
      <c r="F109" s="14" t="s">
        <v>845</v>
      </c>
    </row>
    <row r="110" spans="1:6" ht="12.75" customHeight="1">
      <c r="A110" s="114" t="s">
        <v>2225</v>
      </c>
      <c r="B110" s="115"/>
      <c r="C110" s="116"/>
      <c r="D110" s="19">
        <f>229138.8+D113</f>
        <v>475282.31999999995</v>
      </c>
      <c r="E110" s="48">
        <v>8</v>
      </c>
      <c r="F110" s="14" t="s">
        <v>787</v>
      </c>
    </row>
    <row r="111" spans="1:6" ht="12.75" customHeight="1">
      <c r="A111" s="120" t="s">
        <v>2226</v>
      </c>
      <c r="B111" s="121"/>
      <c r="C111" s="122"/>
      <c r="D111" s="42">
        <f>0+D114</f>
        <v>298095</v>
      </c>
      <c r="E111" s="48">
        <v>9</v>
      </c>
      <c r="F111" s="14" t="s">
        <v>846</v>
      </c>
    </row>
    <row r="112" spans="1:6" ht="12.75" customHeight="1">
      <c r="A112" s="114" t="s">
        <v>779</v>
      </c>
      <c r="B112" s="115"/>
      <c r="C112" s="116"/>
      <c r="D112" s="18">
        <v>1781188.49</v>
      </c>
      <c r="E112" s="48">
        <v>10</v>
      </c>
      <c r="F112" s="14" t="s">
        <v>847</v>
      </c>
    </row>
    <row r="113" spans="1:6" ht="12.75" customHeight="1">
      <c r="A113" s="114" t="s">
        <v>780</v>
      </c>
      <c r="B113" s="115"/>
      <c r="C113" s="116"/>
      <c r="D113" s="18">
        <v>246143.52</v>
      </c>
      <c r="E113" s="48">
        <v>11</v>
      </c>
      <c r="F113" s="14" t="s">
        <v>848</v>
      </c>
    </row>
    <row r="114" spans="1:6" ht="12.75" customHeight="1">
      <c r="A114" s="120" t="s">
        <v>781</v>
      </c>
      <c r="B114" s="121"/>
      <c r="C114" s="122"/>
      <c r="D114" s="41">
        <f>D96</f>
        <v>298095</v>
      </c>
      <c r="E114" s="48">
        <v>12</v>
      </c>
      <c r="F114" s="43"/>
    </row>
    <row r="115" spans="1:6" ht="27" customHeight="1">
      <c r="A115" s="108" t="s">
        <v>782</v>
      </c>
      <c r="B115" s="109"/>
      <c r="C115" s="110"/>
      <c r="D115" s="26">
        <f>D106-D108</f>
        <v>648172.7747</v>
      </c>
      <c r="E115" s="48">
        <v>13</v>
      </c>
      <c r="F115" s="43"/>
    </row>
    <row r="116" spans="1:6" ht="25.5" customHeight="1">
      <c r="A116" s="108" t="s">
        <v>783</v>
      </c>
      <c r="B116" s="109"/>
      <c r="C116" s="110"/>
      <c r="D116" s="26">
        <f>D109-D111</f>
        <v>315628.79000000004</v>
      </c>
      <c r="E116" s="48">
        <v>14</v>
      </c>
      <c r="F116" s="43"/>
    </row>
    <row r="117" spans="1:6" ht="25.5" customHeight="1">
      <c r="A117" s="108" t="s">
        <v>718</v>
      </c>
      <c r="B117" s="109"/>
      <c r="C117" s="110"/>
      <c r="D117" s="26">
        <f>D107-D108</f>
        <v>-353281.9952999996</v>
      </c>
      <c r="E117" s="48">
        <v>15</v>
      </c>
      <c r="F117" s="43"/>
    </row>
    <row r="118" ht="12.75">
      <c r="F118" s="43"/>
    </row>
  </sheetData>
  <sheetProtection/>
  <mergeCells count="30">
    <mergeCell ref="A94:C94"/>
    <mergeCell ref="A52:C52"/>
    <mergeCell ref="A58:C58"/>
    <mergeCell ref="A71:C71"/>
    <mergeCell ref="A116:C116"/>
    <mergeCell ref="A117:C117"/>
    <mergeCell ref="A112:C112"/>
    <mergeCell ref="A113:C113"/>
    <mergeCell ref="A114:C114"/>
    <mergeCell ref="A115:C115"/>
    <mergeCell ref="A110:C110"/>
    <mergeCell ref="A111:C111"/>
    <mergeCell ref="A102:C102"/>
    <mergeCell ref="A103:C103"/>
    <mergeCell ref="A106:C106"/>
    <mergeCell ref="A107:C107"/>
    <mergeCell ref="A104:C104"/>
    <mergeCell ref="A105:C105"/>
    <mergeCell ref="A108:C108"/>
    <mergeCell ref="A109:C109"/>
    <mergeCell ref="A1:D1"/>
    <mergeCell ref="A100:C100"/>
    <mergeCell ref="A101:C101"/>
    <mergeCell ref="A3:C3"/>
    <mergeCell ref="A4:C4"/>
    <mergeCell ref="A7:C7"/>
    <mergeCell ref="A96:C96"/>
    <mergeCell ref="A9:C9"/>
    <mergeCell ref="A10:C10"/>
    <mergeCell ref="A77:C77"/>
  </mergeCells>
  <printOptions/>
  <pageMargins left="0.17" right="0.28" top="0.36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6"/>
  <sheetViews>
    <sheetView zoomScalePageLayoutView="0" workbookViewId="0" topLeftCell="A1">
      <pane ySplit="2" topLeftCell="A3" activePane="bottomLeft" state="frozen"/>
      <selection pane="topLeft" activeCell="I183" activeCellId="5" sqref="A184:C184 B186 D187 C187 C163 I183"/>
      <selection pane="bottomLeft" activeCell="D75" sqref="A1:D75"/>
    </sheetView>
  </sheetViews>
  <sheetFormatPr defaultColWidth="13.421875" defaultRowHeight="12.75" outlineLevelRow="2"/>
  <cols>
    <col min="1" max="1" width="11.8515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customHeight="1" thickBot="1">
      <c r="A1" s="135" t="s">
        <v>1580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3.5" customHeight="1" thickBot="1">
      <c r="A3" s="124" t="s">
        <v>1343</v>
      </c>
      <c r="B3" s="124"/>
      <c r="C3" s="124"/>
      <c r="D3" s="25">
        <f>D4+D29+D31+D34+D47+D56+D57</f>
        <v>298781.9</v>
      </c>
      <c r="E3" s="45"/>
    </row>
    <row r="4" spans="1:5" ht="13.5" outlineLevel="1" thickTop="1">
      <c r="A4" s="111" t="s">
        <v>1354</v>
      </c>
      <c r="B4" s="112"/>
      <c r="C4" s="113"/>
      <c r="D4" s="28">
        <f>SUM(D5:D28)</f>
        <v>94978.79999999999</v>
      </c>
      <c r="E4" s="46"/>
    </row>
    <row r="5" spans="1:5" ht="26.25" customHeight="1" outlineLevel="2">
      <c r="A5" s="7" t="s">
        <v>1133</v>
      </c>
      <c r="B5" s="29" t="s">
        <v>849</v>
      </c>
      <c r="C5" s="7" t="s">
        <v>1134</v>
      </c>
      <c r="D5" s="30">
        <v>5529</v>
      </c>
      <c r="E5" s="46"/>
    </row>
    <row r="6" spans="1:5" ht="12.75" outlineLevel="2">
      <c r="A6" s="7" t="s">
        <v>1777</v>
      </c>
      <c r="B6" s="29" t="s">
        <v>849</v>
      </c>
      <c r="C6" s="7" t="s">
        <v>1778</v>
      </c>
      <c r="D6" s="30">
        <v>525</v>
      </c>
      <c r="E6" s="46"/>
    </row>
    <row r="7" spans="1:5" ht="12.75" outlineLevel="2">
      <c r="A7" s="7" t="s">
        <v>1887</v>
      </c>
      <c r="B7" s="29" t="s">
        <v>849</v>
      </c>
      <c r="C7" s="7" t="s">
        <v>1888</v>
      </c>
      <c r="D7" s="30">
        <v>436</v>
      </c>
      <c r="E7" s="46"/>
    </row>
    <row r="8" spans="1:5" ht="12.75" outlineLevel="2">
      <c r="A8" s="7" t="s">
        <v>115</v>
      </c>
      <c r="B8" s="29" t="s">
        <v>1951</v>
      </c>
      <c r="C8" s="7" t="s">
        <v>116</v>
      </c>
      <c r="D8" s="30">
        <v>5002</v>
      </c>
      <c r="E8" s="46"/>
    </row>
    <row r="9" spans="1:5" ht="12.75" outlineLevel="2">
      <c r="A9" s="7" t="s">
        <v>101</v>
      </c>
      <c r="B9" s="29" t="s">
        <v>1951</v>
      </c>
      <c r="C9" s="7" t="s">
        <v>106</v>
      </c>
      <c r="D9" s="30">
        <v>2497</v>
      </c>
      <c r="E9" s="46"/>
    </row>
    <row r="10" spans="1:5" ht="12.75" outlineLevel="2">
      <c r="A10" s="51" t="s">
        <v>2185</v>
      </c>
      <c r="B10" s="52" t="s">
        <v>849</v>
      </c>
      <c r="C10" s="51" t="s">
        <v>2200</v>
      </c>
      <c r="D10" s="30">
        <v>189.4</v>
      </c>
      <c r="E10" s="46"/>
    </row>
    <row r="11" spans="1:5" ht="12.75" outlineLevel="2">
      <c r="A11" s="7" t="s">
        <v>1682</v>
      </c>
      <c r="B11" s="29" t="s">
        <v>1952</v>
      </c>
      <c r="C11" s="7" t="s">
        <v>1683</v>
      </c>
      <c r="D11" s="30">
        <v>468</v>
      </c>
      <c r="E11" s="46"/>
    </row>
    <row r="12" spans="1:5" ht="12.75" outlineLevel="2">
      <c r="A12" s="7" t="s">
        <v>2353</v>
      </c>
      <c r="B12" s="29" t="s">
        <v>1953</v>
      </c>
      <c r="C12" s="7" t="s">
        <v>2354</v>
      </c>
      <c r="D12" s="30">
        <v>42572</v>
      </c>
      <c r="E12" s="46"/>
    </row>
    <row r="13" spans="1:5" ht="12.75" outlineLevel="2">
      <c r="A13" s="7" t="s">
        <v>2401</v>
      </c>
      <c r="B13" s="29" t="s">
        <v>1953</v>
      </c>
      <c r="C13" s="7" t="s">
        <v>2403</v>
      </c>
      <c r="D13" s="30">
        <v>3591</v>
      </c>
      <c r="E13" s="46"/>
    </row>
    <row r="14" spans="1:5" ht="12.75" outlineLevel="2">
      <c r="A14" s="7" t="s">
        <v>1318</v>
      </c>
      <c r="B14" s="29" t="s">
        <v>1954</v>
      </c>
      <c r="C14" s="7" t="s">
        <v>2658</v>
      </c>
      <c r="D14" s="30">
        <v>592</v>
      </c>
      <c r="E14" s="46"/>
    </row>
    <row r="15" spans="1:5" ht="12.75" outlineLevel="2">
      <c r="A15" s="8" t="s">
        <v>568</v>
      </c>
      <c r="B15" s="29" t="s">
        <v>1954</v>
      </c>
      <c r="C15" s="7" t="s">
        <v>559</v>
      </c>
      <c r="D15" s="30">
        <v>66.69</v>
      </c>
      <c r="E15" s="46"/>
    </row>
    <row r="16" spans="1:5" ht="12.75" outlineLevel="2">
      <c r="A16" s="8" t="s">
        <v>2770</v>
      </c>
      <c r="B16" s="29" t="s">
        <v>1954</v>
      </c>
      <c r="C16" s="7" t="s">
        <v>2765</v>
      </c>
      <c r="D16" s="30">
        <v>378.8</v>
      </c>
      <c r="E16" s="46"/>
    </row>
    <row r="17" spans="1:5" ht="12.75" outlineLevel="2">
      <c r="A17" s="8" t="s">
        <v>1930</v>
      </c>
      <c r="B17" s="29" t="s">
        <v>1955</v>
      </c>
      <c r="C17" s="7" t="s">
        <v>424</v>
      </c>
      <c r="D17" s="30">
        <v>4373.11</v>
      </c>
      <c r="E17" s="46"/>
    </row>
    <row r="18" spans="1:5" ht="12.75" outlineLevel="2">
      <c r="A18" s="8" t="s">
        <v>1090</v>
      </c>
      <c r="B18" s="29" t="s">
        <v>1956</v>
      </c>
      <c r="C18" s="7" t="s">
        <v>2263</v>
      </c>
      <c r="D18" s="100">
        <v>8.34</v>
      </c>
      <c r="E18" s="46"/>
    </row>
    <row r="19" spans="1:5" ht="12.75" outlineLevel="2">
      <c r="A19" s="8" t="s">
        <v>2598</v>
      </c>
      <c r="B19" s="29" t="s">
        <v>1957</v>
      </c>
      <c r="C19" s="7" t="s">
        <v>2263</v>
      </c>
      <c r="D19" s="100">
        <v>8.34</v>
      </c>
      <c r="E19" s="46"/>
    </row>
    <row r="20" spans="1:5" ht="12.75" outlineLevel="2">
      <c r="A20" s="8" t="s">
        <v>1235</v>
      </c>
      <c r="B20" s="29" t="s">
        <v>1957</v>
      </c>
      <c r="C20" s="7" t="s">
        <v>1236</v>
      </c>
      <c r="D20" s="31">
        <v>278</v>
      </c>
      <c r="E20" s="46"/>
    </row>
    <row r="21" spans="1:5" ht="12.75" outlineLevel="2">
      <c r="A21" s="8" t="s">
        <v>2506</v>
      </c>
      <c r="B21" s="29" t="s">
        <v>1959</v>
      </c>
      <c r="C21" s="7" t="s">
        <v>2507</v>
      </c>
      <c r="D21" s="31">
        <v>4000</v>
      </c>
      <c r="E21" s="46"/>
    </row>
    <row r="22" spans="1:5" ht="12.75" outlineLevel="2">
      <c r="A22" s="8" t="s">
        <v>395</v>
      </c>
      <c r="B22" s="29" t="s">
        <v>1959</v>
      </c>
      <c r="C22" s="7" t="s">
        <v>397</v>
      </c>
      <c r="D22" s="31">
        <v>257</v>
      </c>
      <c r="E22" s="46"/>
    </row>
    <row r="23" spans="1:5" ht="12.75" outlineLevel="2">
      <c r="A23" s="8" t="s">
        <v>1152</v>
      </c>
      <c r="B23" s="29" t="s">
        <v>1959</v>
      </c>
      <c r="C23" s="7" t="s">
        <v>2727</v>
      </c>
      <c r="D23" s="31">
        <v>2668.59</v>
      </c>
      <c r="E23" s="46"/>
    </row>
    <row r="24" spans="1:5" ht="12.75" outlineLevel="2">
      <c r="A24" s="8" t="s">
        <v>2148</v>
      </c>
      <c r="B24" s="29" t="s">
        <v>1959</v>
      </c>
      <c r="C24" s="7" t="s">
        <v>1186</v>
      </c>
      <c r="D24" s="31">
        <v>2325</v>
      </c>
      <c r="E24" s="46"/>
    </row>
    <row r="25" spans="1:5" ht="12.75" outlineLevel="2">
      <c r="A25" s="8" t="s">
        <v>878</v>
      </c>
      <c r="B25" s="29" t="s">
        <v>1959</v>
      </c>
      <c r="C25" s="7" t="s">
        <v>879</v>
      </c>
      <c r="D25" s="31">
        <v>2821</v>
      </c>
      <c r="E25" s="46"/>
    </row>
    <row r="26" spans="1:5" ht="12.75" customHeight="1" outlineLevel="2">
      <c r="A26" s="8" t="s">
        <v>913</v>
      </c>
      <c r="B26" s="29" t="s">
        <v>1960</v>
      </c>
      <c r="C26" s="7" t="s">
        <v>914</v>
      </c>
      <c r="D26" s="31">
        <v>2272.8</v>
      </c>
      <c r="E26" s="46"/>
    </row>
    <row r="27" spans="1:5" ht="12.75" outlineLevel="2">
      <c r="A27" s="8" t="s">
        <v>772</v>
      </c>
      <c r="B27" s="29" t="s">
        <v>1961</v>
      </c>
      <c r="C27" s="7" t="s">
        <v>773</v>
      </c>
      <c r="D27" s="31">
        <v>13261</v>
      </c>
      <c r="E27" s="46"/>
    </row>
    <row r="28" spans="1:5" ht="12.75" outlineLevel="2">
      <c r="A28" s="8" t="s">
        <v>1507</v>
      </c>
      <c r="B28" s="29" t="s">
        <v>1961</v>
      </c>
      <c r="C28" s="7" t="s">
        <v>1510</v>
      </c>
      <c r="D28" s="31">
        <v>858.73</v>
      </c>
      <c r="E28" s="46"/>
    </row>
    <row r="29" spans="1:5" ht="12.75" outlineLevel="1">
      <c r="A29" s="117" t="s">
        <v>1340</v>
      </c>
      <c r="B29" s="118"/>
      <c r="C29" s="119"/>
      <c r="D29" s="28">
        <f>SUM(D30:D30)</f>
        <v>184</v>
      </c>
      <c r="E29" s="46"/>
    </row>
    <row r="30" spans="1:5" ht="12.75" outlineLevel="2">
      <c r="A30" s="9" t="s">
        <v>2464</v>
      </c>
      <c r="B30" s="29" t="s">
        <v>1953</v>
      </c>
      <c r="C30" s="7" t="s">
        <v>2466</v>
      </c>
      <c r="D30" s="30">
        <v>184</v>
      </c>
      <c r="E30" s="46"/>
    </row>
    <row r="31" spans="1:5" ht="12.75" outlineLevel="1">
      <c r="A31" s="117" t="s">
        <v>1342</v>
      </c>
      <c r="B31" s="118"/>
      <c r="C31" s="119"/>
      <c r="D31" s="28">
        <f>SUM(D32:D33)</f>
        <v>19734</v>
      </c>
      <c r="E31" s="46"/>
    </row>
    <row r="32" spans="1:5" ht="12.75" outlineLevel="2">
      <c r="A32" s="51" t="s">
        <v>2216</v>
      </c>
      <c r="B32" s="52" t="s">
        <v>1952</v>
      </c>
      <c r="C32" s="51" t="s">
        <v>1656</v>
      </c>
      <c r="D32" s="30">
        <v>4437</v>
      </c>
      <c r="E32" s="46"/>
    </row>
    <row r="33" spans="1:5" ht="12.75" outlineLevel="2">
      <c r="A33" s="7" t="s">
        <v>648</v>
      </c>
      <c r="B33" s="29" t="s">
        <v>1951</v>
      </c>
      <c r="C33" s="7" t="s">
        <v>649</v>
      </c>
      <c r="D33" s="30">
        <v>15297</v>
      </c>
      <c r="E33" s="46"/>
    </row>
    <row r="34" spans="1:5" ht="12.75" outlineLevel="1">
      <c r="A34" s="117" t="s">
        <v>1344</v>
      </c>
      <c r="B34" s="118"/>
      <c r="C34" s="119"/>
      <c r="D34" s="28">
        <f>SUM(D35:D46)</f>
        <v>119024.32000000002</v>
      </c>
      <c r="E34" s="46"/>
    </row>
    <row r="35" spans="1:5" ht="12.75" outlineLevel="2">
      <c r="A35" s="7"/>
      <c r="B35" s="29" t="s">
        <v>849</v>
      </c>
      <c r="C35" s="7" t="s">
        <v>1964</v>
      </c>
      <c r="D35" s="30">
        <f>2097.4+1948.84+1158+2739.67+1186.25+734.34</f>
        <v>9864.5</v>
      </c>
      <c r="E35" s="46"/>
    </row>
    <row r="36" spans="1:5" ht="12.75" outlineLevel="2">
      <c r="A36" s="7"/>
      <c r="B36" s="29" t="s">
        <v>1951</v>
      </c>
      <c r="C36" s="7" t="s">
        <v>1964</v>
      </c>
      <c r="D36" s="30">
        <f>2231.28+1948.84+1158+2739.67+1186.25+734.34</f>
        <v>9998.380000000001</v>
      </c>
      <c r="E36" s="46"/>
    </row>
    <row r="37" spans="1:5" ht="12.75" outlineLevel="2">
      <c r="A37" s="7"/>
      <c r="B37" s="29" t="s">
        <v>1952</v>
      </c>
      <c r="C37" s="7" t="s">
        <v>1964</v>
      </c>
      <c r="D37" s="30">
        <f>2231.28+1559.07+1158+2739.67+1186.25+734.34+169.46</f>
        <v>9778.07</v>
      </c>
      <c r="E37" s="46"/>
    </row>
    <row r="38" spans="1:5" ht="12.75" outlineLevel="2">
      <c r="A38" s="7"/>
      <c r="B38" s="29" t="s">
        <v>1953</v>
      </c>
      <c r="C38" s="7" t="s">
        <v>1964</v>
      </c>
      <c r="D38" s="30">
        <f>2119.71+1722.88+3897.67+1129.76+734.34+169.46</f>
        <v>9773.82</v>
      </c>
      <c r="E38" s="46"/>
    </row>
    <row r="39" spans="1:5" ht="12.75" outlineLevel="2">
      <c r="A39" s="7"/>
      <c r="B39" s="29" t="s">
        <v>1954</v>
      </c>
      <c r="C39" s="7" t="s">
        <v>1964</v>
      </c>
      <c r="D39" s="30">
        <f>1685.77+898.16+3111.36+846.47+706.1+169.46</f>
        <v>7417.320000000001</v>
      </c>
      <c r="E39" s="46"/>
    </row>
    <row r="40" spans="1:5" ht="12.75" outlineLevel="2">
      <c r="A40" s="7"/>
      <c r="B40" s="29" t="s">
        <v>1955</v>
      </c>
      <c r="C40" s="7" t="s">
        <v>1964</v>
      </c>
      <c r="D40" s="30">
        <f>1004.07+748.47+1948.84+522.51+353.05</f>
        <v>4576.9400000000005</v>
      </c>
      <c r="E40" s="46"/>
    </row>
    <row r="41" spans="1:5" ht="12.75" outlineLevel="2">
      <c r="A41" s="7"/>
      <c r="B41" s="29" t="s">
        <v>1956</v>
      </c>
      <c r="C41" s="7" t="s">
        <v>1964</v>
      </c>
      <c r="D41" s="30">
        <f>2485.47+1666.4+4349.58+1158+790+3558.74</f>
        <v>14008.19</v>
      </c>
      <c r="E41" s="46"/>
    </row>
    <row r="42" spans="1:5" ht="12.75" outlineLevel="2">
      <c r="A42" s="7"/>
      <c r="B42" s="29" t="s">
        <v>1957</v>
      </c>
      <c r="C42" s="7" t="s">
        <v>1964</v>
      </c>
      <c r="D42" s="30">
        <f>2485.47+1666.4+4349.58+1158+790.83</f>
        <v>10450.28</v>
      </c>
      <c r="E42" s="46"/>
    </row>
    <row r="43" spans="1:5" ht="12.75" outlineLevel="2">
      <c r="A43" s="7"/>
      <c r="B43" s="29" t="s">
        <v>1958</v>
      </c>
      <c r="C43" s="7" t="s">
        <v>1964</v>
      </c>
      <c r="D43" s="30">
        <f>2485.47+1666.4+4349.58+1158+790.83</f>
        <v>10450.28</v>
      </c>
      <c r="E43" s="46"/>
    </row>
    <row r="44" spans="1:5" ht="12.75" outlineLevel="2">
      <c r="A44" s="7"/>
      <c r="B44" s="29" t="s">
        <v>1959</v>
      </c>
      <c r="C44" s="7" t="s">
        <v>1964</v>
      </c>
      <c r="D44" s="30">
        <f>2485.47+1666.4+4349.58+1158+790.83</f>
        <v>10450.28</v>
      </c>
      <c r="E44" s="46"/>
    </row>
    <row r="45" spans="1:5" ht="12.75" outlineLevel="2">
      <c r="A45" s="7"/>
      <c r="B45" s="29" t="s">
        <v>1960</v>
      </c>
      <c r="C45" s="7" t="s">
        <v>1964</v>
      </c>
      <c r="D45" s="30">
        <f>2485.47+2174.79+1299.22+3050.35+1327.47+790.83</f>
        <v>11128.13</v>
      </c>
      <c r="E45" s="46"/>
    </row>
    <row r="46" spans="1:5" ht="12.75" outlineLevel="2">
      <c r="A46" s="11"/>
      <c r="B46" s="29" t="s">
        <v>1961</v>
      </c>
      <c r="C46" s="7" t="s">
        <v>1964</v>
      </c>
      <c r="D46" s="30">
        <f>2485.47+2174.79+1299.22+3050.35+1327.47+790.83</f>
        <v>11128.13</v>
      </c>
      <c r="E46" s="46"/>
    </row>
    <row r="47" spans="1:5" ht="12.75" outlineLevel="1">
      <c r="A47" s="117" t="s">
        <v>1346</v>
      </c>
      <c r="B47" s="118"/>
      <c r="C47" s="119"/>
      <c r="D47" s="28">
        <f>SUM(D48:D51)</f>
        <v>8937.66</v>
      </c>
      <c r="E47" s="46"/>
    </row>
    <row r="48" spans="1:5" ht="12.75" outlineLevel="2">
      <c r="A48" s="7" t="s">
        <v>1971</v>
      </c>
      <c r="B48" s="29" t="s">
        <v>849</v>
      </c>
      <c r="C48" s="7" t="s">
        <v>2190</v>
      </c>
      <c r="D48" s="30">
        <v>905.66</v>
      </c>
      <c r="E48" s="46"/>
    </row>
    <row r="49" spans="1:5" ht="12.75" outlineLevel="2">
      <c r="A49" s="7" t="s">
        <v>2363</v>
      </c>
      <c r="B49" s="29" t="s">
        <v>1952</v>
      </c>
      <c r="C49" s="7" t="s">
        <v>2364</v>
      </c>
      <c r="D49" s="30">
        <v>1053</v>
      </c>
      <c r="E49" s="46"/>
    </row>
    <row r="50" spans="1:5" ht="12.75" outlineLevel="2">
      <c r="A50" s="7" t="s">
        <v>711</v>
      </c>
      <c r="B50" s="29" t="s">
        <v>1957</v>
      </c>
      <c r="C50" s="7" t="s">
        <v>709</v>
      </c>
      <c r="D50" s="30">
        <v>6613</v>
      </c>
      <c r="E50" s="46"/>
    </row>
    <row r="51" spans="1:5" ht="12.75" outlineLevel="2">
      <c r="A51" s="7" t="s">
        <v>1703</v>
      </c>
      <c r="B51" s="29" t="s">
        <v>1957</v>
      </c>
      <c r="C51" s="7" t="s">
        <v>1702</v>
      </c>
      <c r="D51" s="30">
        <v>366</v>
      </c>
      <c r="E51" s="46"/>
    </row>
    <row r="52" spans="1:5" ht="12.75" outlineLevel="1">
      <c r="A52" s="117" t="s">
        <v>1341</v>
      </c>
      <c r="B52" s="118"/>
      <c r="C52" s="119"/>
      <c r="D52" s="28">
        <f>SUM(D53:D55)</f>
        <v>4056.24</v>
      </c>
      <c r="E52" s="46"/>
    </row>
    <row r="53" spans="1:5" ht="12.75" outlineLevel="2">
      <c r="A53" s="7" t="s">
        <v>536</v>
      </c>
      <c r="B53" s="29" t="s">
        <v>1952</v>
      </c>
      <c r="C53" s="7" t="s">
        <v>537</v>
      </c>
      <c r="D53" s="30">
        <v>3331</v>
      </c>
      <c r="E53" s="46"/>
    </row>
    <row r="54" spans="1:5" ht="12.75" outlineLevel="2">
      <c r="A54" s="7" t="s">
        <v>1280</v>
      </c>
      <c r="B54" s="29" t="s">
        <v>1954</v>
      </c>
      <c r="C54" s="7" t="s">
        <v>1284</v>
      </c>
      <c r="D54" s="30">
        <v>288</v>
      </c>
      <c r="E54" s="46"/>
    </row>
    <row r="55" spans="1:5" ht="12.75" outlineLevel="2">
      <c r="A55" s="7" t="s">
        <v>2032</v>
      </c>
      <c r="B55" s="29" t="s">
        <v>1960</v>
      </c>
      <c r="C55" s="7" t="s">
        <v>2033</v>
      </c>
      <c r="D55" s="30">
        <v>437.24</v>
      </c>
      <c r="E55" s="46"/>
    </row>
    <row r="56" spans="1:6" ht="12.75">
      <c r="A56" s="6">
        <v>2824.4</v>
      </c>
      <c r="B56" s="6" t="s">
        <v>1356</v>
      </c>
      <c r="C56" s="37" t="s">
        <v>1345</v>
      </c>
      <c r="D56" s="23">
        <f>(2824.4*6*1.46)+(2824.4*6*1.63)</f>
        <v>52364.376000000004</v>
      </c>
      <c r="E56" s="46"/>
      <c r="F56" s="37" t="s">
        <v>1352</v>
      </c>
    </row>
    <row r="57" spans="1:6" ht="13.5" thickBot="1">
      <c r="A57" s="6">
        <v>2824.4</v>
      </c>
      <c r="B57" s="6" t="s">
        <v>1356</v>
      </c>
      <c r="C57" s="37" t="s">
        <v>1357</v>
      </c>
      <c r="D57" s="23">
        <f>(2824.4*6*0.1)+(2824.4*6*0.11)</f>
        <v>3558.7440000000006</v>
      </c>
      <c r="E57" s="46"/>
      <c r="F57" s="37" t="s">
        <v>1351</v>
      </c>
    </row>
    <row r="58" spans="1:6" ht="12.75" customHeight="1" thickTop="1">
      <c r="A58" s="132" t="s">
        <v>1361</v>
      </c>
      <c r="B58" s="133"/>
      <c r="C58" s="134"/>
      <c r="D58" s="76">
        <f>(2824.4*6*0.94)+(2824.4*6*1.03)</f>
        <v>33384.408</v>
      </c>
      <c r="E58" s="48"/>
      <c r="F58" s="14" t="s">
        <v>787</v>
      </c>
    </row>
    <row r="59" spans="1:6" ht="12.75" customHeight="1">
      <c r="A59" s="125" t="s">
        <v>1350</v>
      </c>
      <c r="B59" s="126"/>
      <c r="C59" s="127"/>
      <c r="D59" s="76">
        <f>(2824.4*6*1.57)+(2824.4*6*1.75)</f>
        <v>56262.04800000001</v>
      </c>
      <c r="E59" s="48"/>
      <c r="F59" s="14" t="s">
        <v>788</v>
      </c>
    </row>
    <row r="60" spans="1:6" ht="12.75" customHeight="1">
      <c r="A60" s="125" t="s">
        <v>1362</v>
      </c>
      <c r="B60" s="126"/>
      <c r="C60" s="127"/>
      <c r="D60" s="18">
        <f>10.3*(D62+D63)/100</f>
        <v>79070.33136000001</v>
      </c>
      <c r="E60" s="48"/>
      <c r="F60" s="14" t="s">
        <v>789</v>
      </c>
    </row>
    <row r="61" spans="1:6" ht="12.75" customHeight="1">
      <c r="A61" s="120" t="s">
        <v>1363</v>
      </c>
      <c r="B61" s="121"/>
      <c r="C61" s="122"/>
      <c r="D61" s="41">
        <f>D60+D59+D58+D3</f>
        <v>467498.68736000004</v>
      </c>
      <c r="E61" s="48">
        <v>1</v>
      </c>
      <c r="F61" s="14" t="s">
        <v>790</v>
      </c>
    </row>
    <row r="62" spans="1:6" ht="12.75" customHeight="1">
      <c r="A62" s="114" t="s">
        <v>1364</v>
      </c>
      <c r="B62" s="115"/>
      <c r="C62" s="116"/>
      <c r="D62" s="18">
        <v>674467.92</v>
      </c>
      <c r="E62" s="48">
        <v>2</v>
      </c>
      <c r="F62" s="27"/>
    </row>
    <row r="63" spans="1:6" ht="12.75" customHeight="1">
      <c r="A63" s="114" t="s">
        <v>1365</v>
      </c>
      <c r="B63" s="115"/>
      <c r="C63" s="116"/>
      <c r="D63" s="18">
        <v>93205.2</v>
      </c>
      <c r="E63" s="48">
        <v>3</v>
      </c>
      <c r="F63" s="37" t="s">
        <v>1352</v>
      </c>
    </row>
    <row r="64" spans="1:6" ht="12.75" customHeight="1">
      <c r="A64" s="114" t="s">
        <v>2221</v>
      </c>
      <c r="B64" s="115"/>
      <c r="C64" s="116"/>
      <c r="D64" s="19">
        <f>726471.09+D62</f>
        <v>1400939.01</v>
      </c>
      <c r="E64" s="48">
        <v>4</v>
      </c>
      <c r="F64" s="37" t="s">
        <v>791</v>
      </c>
    </row>
    <row r="65" spans="1:6" ht="13.5" customHeight="1">
      <c r="A65" s="114" t="s">
        <v>2222</v>
      </c>
      <c r="B65" s="115"/>
      <c r="C65" s="116"/>
      <c r="D65" s="19">
        <f>522865.11+D70</f>
        <v>1103496.01</v>
      </c>
      <c r="E65" s="48">
        <v>5</v>
      </c>
      <c r="F65" s="14" t="s">
        <v>843</v>
      </c>
    </row>
    <row r="66" spans="1:6" ht="25.5" customHeight="1">
      <c r="A66" s="120" t="s">
        <v>2223</v>
      </c>
      <c r="B66" s="121"/>
      <c r="C66" s="122"/>
      <c r="D66" s="42">
        <f>765824.29+D61</f>
        <v>1233322.9773600001</v>
      </c>
      <c r="E66" s="48">
        <v>6</v>
      </c>
      <c r="F66" s="14" t="s">
        <v>844</v>
      </c>
    </row>
    <row r="67" spans="1:6" ht="12.75" customHeight="1">
      <c r="A67" s="114" t="s">
        <v>2224</v>
      </c>
      <c r="B67" s="115"/>
      <c r="C67" s="116"/>
      <c r="D67" s="19">
        <f>101283+D63</f>
        <v>194488.2</v>
      </c>
      <c r="E67" s="48">
        <v>7</v>
      </c>
      <c r="F67" s="14" t="s">
        <v>845</v>
      </c>
    </row>
    <row r="68" spans="1:6" ht="12.75" customHeight="1">
      <c r="A68" s="114" t="s">
        <v>2225</v>
      </c>
      <c r="B68" s="115"/>
      <c r="C68" s="116"/>
      <c r="D68" s="19">
        <f>72908.8+D71</f>
        <v>153146.6</v>
      </c>
      <c r="E68" s="48">
        <v>8</v>
      </c>
      <c r="F68" s="14" t="s">
        <v>787</v>
      </c>
    </row>
    <row r="69" spans="1:6" ht="12.75" customHeight="1">
      <c r="A69" s="140" t="s">
        <v>2226</v>
      </c>
      <c r="B69" s="141"/>
      <c r="C69" s="142"/>
      <c r="D69" s="42">
        <v>360863.53</v>
      </c>
      <c r="E69" s="48">
        <v>9</v>
      </c>
      <c r="F69" s="14" t="s">
        <v>846</v>
      </c>
    </row>
    <row r="70" spans="1:6" ht="12.75" customHeight="1">
      <c r="A70" s="114" t="s">
        <v>779</v>
      </c>
      <c r="B70" s="115"/>
      <c r="C70" s="116"/>
      <c r="D70" s="18">
        <v>580630.9</v>
      </c>
      <c r="E70" s="48">
        <v>10</v>
      </c>
      <c r="F70" s="14" t="s">
        <v>847</v>
      </c>
    </row>
    <row r="71" spans="1:6" ht="12.75" customHeight="1">
      <c r="A71" s="114" t="s">
        <v>780</v>
      </c>
      <c r="B71" s="143"/>
      <c r="C71" s="116"/>
      <c r="D71" s="18">
        <v>80237.8</v>
      </c>
      <c r="E71" s="48">
        <v>11</v>
      </c>
      <c r="F71" s="14" t="s">
        <v>848</v>
      </c>
    </row>
    <row r="72" spans="1:6" ht="12.75" customHeight="1">
      <c r="A72" s="120" t="s">
        <v>781</v>
      </c>
      <c r="B72" s="121"/>
      <c r="C72" s="122"/>
      <c r="D72" s="41">
        <v>0</v>
      </c>
      <c r="E72" s="48">
        <v>12</v>
      </c>
      <c r="F72" s="43"/>
    </row>
    <row r="73" spans="1:6" ht="27" customHeight="1">
      <c r="A73" s="108" t="s">
        <v>782</v>
      </c>
      <c r="B73" s="109"/>
      <c r="C73" s="110"/>
      <c r="D73" s="26">
        <f>D64-D66</f>
        <v>167616.03263999987</v>
      </c>
      <c r="E73" s="48">
        <v>13</v>
      </c>
      <c r="F73" s="43"/>
    </row>
    <row r="74" spans="1:6" ht="25.5" customHeight="1">
      <c r="A74" s="108" t="s">
        <v>717</v>
      </c>
      <c r="B74" s="109"/>
      <c r="C74" s="110"/>
      <c r="D74" s="26">
        <f>D67-D69</f>
        <v>-166375.33000000002</v>
      </c>
      <c r="E74" s="48">
        <v>14</v>
      </c>
      <c r="F74" s="43"/>
    </row>
    <row r="75" spans="1:6" ht="25.5" customHeight="1">
      <c r="A75" s="108" t="s">
        <v>1624</v>
      </c>
      <c r="B75" s="109"/>
      <c r="C75" s="110"/>
      <c r="D75" s="26">
        <f>D65-D66</f>
        <v>-129826.96736000013</v>
      </c>
      <c r="E75" s="48">
        <v>15</v>
      </c>
      <c r="F75" s="43"/>
    </row>
    <row r="76" ht="12.75">
      <c r="F76" s="43"/>
    </row>
  </sheetData>
  <sheetProtection/>
  <mergeCells count="26">
    <mergeCell ref="A74:C74"/>
    <mergeCell ref="A75:C75"/>
    <mergeCell ref="A70:C70"/>
    <mergeCell ref="A71:C71"/>
    <mergeCell ref="A72:C72"/>
    <mergeCell ref="A73:C73"/>
    <mergeCell ref="A68:C68"/>
    <mergeCell ref="A69:C69"/>
    <mergeCell ref="A60:C60"/>
    <mergeCell ref="A61:C61"/>
    <mergeCell ref="A64:C64"/>
    <mergeCell ref="A65:C65"/>
    <mergeCell ref="A62:C62"/>
    <mergeCell ref="A63:C63"/>
    <mergeCell ref="A66:C66"/>
    <mergeCell ref="A67:C67"/>
    <mergeCell ref="A1:D1"/>
    <mergeCell ref="A58:C58"/>
    <mergeCell ref="A59:C59"/>
    <mergeCell ref="A3:C3"/>
    <mergeCell ref="A4:C4"/>
    <mergeCell ref="A52:C52"/>
    <mergeCell ref="A29:C29"/>
    <mergeCell ref="A31:C31"/>
    <mergeCell ref="A34:C34"/>
    <mergeCell ref="A47:C47"/>
  </mergeCells>
  <printOptions/>
  <pageMargins left="0.25" right="0.23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95"/>
  <sheetViews>
    <sheetView zoomScalePageLayoutView="0" workbookViewId="0" topLeftCell="A1">
      <pane ySplit="2" topLeftCell="A3" activePane="bottomLeft" state="frozen"/>
      <selection pane="topLeft" activeCell="I183" activeCellId="5" sqref="A184:C184 B186 D187 C187 C163 I183"/>
      <selection pane="bottomLeft" activeCell="D94" sqref="A1:D94"/>
    </sheetView>
  </sheetViews>
  <sheetFormatPr defaultColWidth="13.421875" defaultRowHeight="12.75" outlineLevelRow="2"/>
  <cols>
    <col min="1" max="1" width="11.140625" style="1" customWidth="1"/>
    <col min="2" max="2" width="14.7109375" style="1" customWidth="1"/>
    <col min="3" max="3" width="56.28125" style="1" customWidth="1"/>
    <col min="4" max="4" width="14.57421875" style="20" customWidth="1"/>
    <col min="5" max="5" width="5.140625" style="49" customWidth="1"/>
    <col min="6" max="6" width="24.7109375" style="1" customWidth="1"/>
    <col min="7" max="7" width="11.421875" style="1" customWidth="1"/>
    <col min="8" max="97" width="12.421875" style="1" customWidth="1"/>
    <col min="98" max="16384" width="13.421875" style="1" customWidth="1"/>
  </cols>
  <sheetData>
    <row r="1" spans="1:4" ht="13.5" thickBot="1">
      <c r="A1" s="135" t="s">
        <v>1581</v>
      </c>
      <c r="B1" s="136"/>
      <c r="C1" s="136"/>
      <c r="D1" s="136"/>
    </row>
    <row r="2" spans="1:5" ht="12.75">
      <c r="A2" s="2" t="s">
        <v>1335</v>
      </c>
      <c r="B2" s="3" t="s">
        <v>1336</v>
      </c>
      <c r="C2" s="4" t="s">
        <v>1337</v>
      </c>
      <c r="D2" s="15" t="s">
        <v>1338</v>
      </c>
      <c r="E2" s="44"/>
    </row>
    <row r="3" spans="1:5" ht="12.75" customHeight="1">
      <c r="A3" s="123" t="s">
        <v>1339</v>
      </c>
      <c r="B3" s="123"/>
      <c r="C3" s="123"/>
      <c r="D3" s="21">
        <f>D4</f>
        <v>209192</v>
      </c>
      <c r="E3" s="45"/>
    </row>
    <row r="4" spans="1:5" ht="12.75" outlineLevel="1">
      <c r="A4" s="117" t="s">
        <v>1354</v>
      </c>
      <c r="B4" s="118"/>
      <c r="C4" s="119"/>
      <c r="D4" s="28">
        <f>SUM(D5:D6)</f>
        <v>209192</v>
      </c>
      <c r="E4" s="46"/>
    </row>
    <row r="5" spans="1:5" ht="12.75" outlineLevel="2">
      <c r="A5" s="7" t="s">
        <v>2484</v>
      </c>
      <c r="B5" s="29" t="s">
        <v>1953</v>
      </c>
      <c r="C5" s="13" t="s">
        <v>2485</v>
      </c>
      <c r="D5" s="30">
        <v>105643</v>
      </c>
      <c r="E5" s="46"/>
    </row>
    <row r="6" spans="1:5" ht="12.75" outlineLevel="2">
      <c r="A6" s="7" t="s">
        <v>155</v>
      </c>
      <c r="B6" s="29" t="s">
        <v>1955</v>
      </c>
      <c r="C6" s="13" t="s">
        <v>156</v>
      </c>
      <c r="D6" s="30">
        <v>103549</v>
      </c>
      <c r="E6" s="46"/>
    </row>
    <row r="7" spans="1:5" ht="13.5" customHeight="1" thickBot="1">
      <c r="A7" s="124" t="s">
        <v>1343</v>
      </c>
      <c r="B7" s="124"/>
      <c r="C7" s="124"/>
      <c r="D7" s="25">
        <f>D8+D35+D39+D52+D58+D69+D71+D75+D76</f>
        <v>554106.6299999999</v>
      </c>
      <c r="E7" s="45"/>
    </row>
    <row r="8" spans="1:5" ht="13.5" outlineLevel="1" thickTop="1">
      <c r="A8" s="111" t="s">
        <v>1354</v>
      </c>
      <c r="B8" s="112"/>
      <c r="C8" s="113"/>
      <c r="D8" s="28">
        <f>SUM(D9:D34)</f>
        <v>161147.65000000002</v>
      </c>
      <c r="E8" s="46"/>
    </row>
    <row r="9" spans="1:5" ht="12.75" outlineLevel="2">
      <c r="A9" s="7" t="s">
        <v>1123</v>
      </c>
      <c r="B9" s="29" t="s">
        <v>849</v>
      </c>
      <c r="C9" s="7" t="s">
        <v>1122</v>
      </c>
      <c r="D9" s="30">
        <v>34939</v>
      </c>
      <c r="E9" s="46"/>
    </row>
    <row r="10" spans="1:5" ht="12.75" outlineLevel="2">
      <c r="A10" s="7" t="s">
        <v>1744</v>
      </c>
      <c r="B10" s="29" t="s">
        <v>849</v>
      </c>
      <c r="C10" s="7" t="s">
        <v>1749</v>
      </c>
      <c r="D10" s="30">
        <v>3071</v>
      </c>
      <c r="E10" s="46"/>
    </row>
    <row r="11" spans="1:5" ht="12.75" outlineLevel="2">
      <c r="A11" s="7" t="s">
        <v>2185</v>
      </c>
      <c r="B11" s="29" t="s">
        <v>849</v>
      </c>
      <c r="C11" s="7" t="s">
        <v>2174</v>
      </c>
      <c r="D11" s="30">
        <v>126.26</v>
      </c>
      <c r="E11" s="46"/>
    </row>
    <row r="12" spans="1:5" ht="12.75" outlineLevel="2">
      <c r="A12" s="7" t="s">
        <v>2183</v>
      </c>
      <c r="B12" s="29" t="s">
        <v>849</v>
      </c>
      <c r="C12" s="7" t="s">
        <v>2174</v>
      </c>
      <c r="D12" s="30">
        <v>94.7</v>
      </c>
      <c r="E12" s="46"/>
    </row>
    <row r="13" spans="1:5" ht="12.75" outlineLevel="2">
      <c r="A13" s="51" t="s">
        <v>2183</v>
      </c>
      <c r="B13" s="52" t="s">
        <v>849</v>
      </c>
      <c r="C13" s="51" t="s">
        <v>2201</v>
      </c>
      <c r="D13" s="30">
        <v>189.4</v>
      </c>
      <c r="E13" s="46"/>
    </row>
    <row r="14" spans="1:5" ht="12.75" outlineLevel="2">
      <c r="A14" s="51" t="s">
        <v>2185</v>
      </c>
      <c r="B14" s="52" t="s">
        <v>849</v>
      </c>
      <c r="C14" s="51" t="s">
        <v>2200</v>
      </c>
      <c r="D14" s="30">
        <v>189.4</v>
      </c>
      <c r="E14" s="46"/>
    </row>
    <row r="15" spans="1:5" ht="12.75" outlineLevel="2">
      <c r="A15" s="51" t="s">
        <v>117</v>
      </c>
      <c r="B15" s="52" t="s">
        <v>1951</v>
      </c>
      <c r="C15" s="51" t="s">
        <v>118</v>
      </c>
      <c r="D15" s="30">
        <v>4471</v>
      </c>
      <c r="E15" s="46"/>
    </row>
    <row r="16" spans="1:5" ht="12.75" outlineLevel="2">
      <c r="A16" s="51" t="s">
        <v>101</v>
      </c>
      <c r="B16" s="52" t="s">
        <v>1951</v>
      </c>
      <c r="C16" s="51" t="s">
        <v>102</v>
      </c>
      <c r="D16" s="30">
        <v>2718</v>
      </c>
      <c r="E16" s="46"/>
    </row>
    <row r="17" spans="1:5" ht="12.75" outlineLevel="2">
      <c r="A17" s="7" t="s">
        <v>1692</v>
      </c>
      <c r="B17" s="29" t="s">
        <v>1952</v>
      </c>
      <c r="C17" s="7" t="s">
        <v>1695</v>
      </c>
      <c r="D17" s="30">
        <v>1791</v>
      </c>
      <c r="E17" s="46"/>
    </row>
    <row r="18" spans="1:5" ht="12.75" outlineLevel="2">
      <c r="A18" s="7" t="s">
        <v>10</v>
      </c>
      <c r="B18" s="29" t="s">
        <v>1952</v>
      </c>
      <c r="C18" s="7" t="s">
        <v>2680</v>
      </c>
      <c r="D18" s="30">
        <v>1290</v>
      </c>
      <c r="E18" s="46"/>
    </row>
    <row r="19" spans="1:5" ht="12.75" outlineLevel="2">
      <c r="A19" s="7" t="s">
        <v>2653</v>
      </c>
      <c r="B19" s="29" t="s">
        <v>1954</v>
      </c>
      <c r="C19" s="7" t="s">
        <v>2655</v>
      </c>
      <c r="D19" s="30">
        <v>1666</v>
      </c>
      <c r="E19" s="46"/>
    </row>
    <row r="20" spans="1:5" ht="12.75" outlineLevel="2">
      <c r="A20" s="7" t="s">
        <v>2672</v>
      </c>
      <c r="B20" s="29" t="s">
        <v>1954</v>
      </c>
      <c r="C20" s="7" t="s">
        <v>2673</v>
      </c>
      <c r="D20" s="30">
        <v>27503</v>
      </c>
      <c r="E20" s="46"/>
    </row>
    <row r="21" spans="1:5" ht="12.75" outlineLevel="2">
      <c r="A21" s="7" t="s">
        <v>2678</v>
      </c>
      <c r="B21" s="29" t="s">
        <v>1954</v>
      </c>
      <c r="C21" s="7" t="s">
        <v>2679</v>
      </c>
      <c r="D21" s="30">
        <v>1524</v>
      </c>
      <c r="E21" s="46"/>
    </row>
    <row r="22" spans="1:5" ht="25.5" outlineLevel="2">
      <c r="A22" s="8" t="s">
        <v>569</v>
      </c>
      <c r="B22" s="29" t="s">
        <v>1954</v>
      </c>
      <c r="C22" s="7" t="s">
        <v>2767</v>
      </c>
      <c r="D22" s="31">
        <v>176.34</v>
      </c>
      <c r="E22" s="46"/>
    </row>
    <row r="23" spans="1:5" ht="25.5" outlineLevel="2">
      <c r="A23" s="8" t="s">
        <v>2769</v>
      </c>
      <c r="B23" s="29" t="s">
        <v>1954</v>
      </c>
      <c r="C23" s="7" t="s">
        <v>2768</v>
      </c>
      <c r="D23" s="31">
        <v>378.8</v>
      </c>
      <c r="E23" s="46"/>
    </row>
    <row r="24" spans="1:5" ht="12.75" outlineLevel="2">
      <c r="A24" s="8" t="s">
        <v>1930</v>
      </c>
      <c r="B24" s="29" t="s">
        <v>1955</v>
      </c>
      <c r="C24" s="7" t="s">
        <v>424</v>
      </c>
      <c r="D24" s="31">
        <v>4209.66</v>
      </c>
      <c r="E24" s="46"/>
    </row>
    <row r="25" spans="1:5" ht="12.75" outlineLevel="2">
      <c r="A25" s="8" t="s">
        <v>347</v>
      </c>
      <c r="B25" s="29" t="s">
        <v>1958</v>
      </c>
      <c r="C25" s="7" t="s">
        <v>348</v>
      </c>
      <c r="D25" s="31">
        <v>2662</v>
      </c>
      <c r="E25" s="46"/>
    </row>
    <row r="26" spans="1:5" ht="12.75" outlineLevel="2">
      <c r="A26" s="8" t="s">
        <v>2504</v>
      </c>
      <c r="B26" s="29" t="s">
        <v>1959</v>
      </c>
      <c r="C26" s="7" t="s">
        <v>2505</v>
      </c>
      <c r="D26" s="31">
        <v>5408</v>
      </c>
      <c r="E26" s="46"/>
    </row>
    <row r="27" spans="1:5" ht="12.75" outlineLevel="2">
      <c r="A27" s="8" t="s">
        <v>880</v>
      </c>
      <c r="B27" s="29" t="s">
        <v>1959</v>
      </c>
      <c r="C27" s="7" t="s">
        <v>881</v>
      </c>
      <c r="D27" s="31">
        <v>14845</v>
      </c>
      <c r="E27" s="46"/>
    </row>
    <row r="28" spans="1:5" ht="12.75" outlineLevel="2">
      <c r="A28" s="8" t="s">
        <v>1152</v>
      </c>
      <c r="B28" s="29" t="s">
        <v>1959</v>
      </c>
      <c r="C28" s="7" t="s">
        <v>2727</v>
      </c>
      <c r="D28" s="31">
        <v>2668.59</v>
      </c>
      <c r="E28" s="46"/>
    </row>
    <row r="29" spans="1:5" ht="12.75" outlineLevel="2">
      <c r="A29" s="8" t="s">
        <v>799</v>
      </c>
      <c r="B29" s="29" t="s">
        <v>1960</v>
      </c>
      <c r="C29" s="7" t="s">
        <v>800</v>
      </c>
      <c r="D29" s="31">
        <v>138.39</v>
      </c>
      <c r="E29" s="46"/>
    </row>
    <row r="30" spans="1:5" ht="12.75" outlineLevel="2">
      <c r="A30" s="8" t="s">
        <v>182</v>
      </c>
      <c r="B30" s="29" t="s">
        <v>1960</v>
      </c>
      <c r="C30" s="7" t="s">
        <v>184</v>
      </c>
      <c r="D30" s="31">
        <v>429.56</v>
      </c>
      <c r="E30" s="46"/>
    </row>
    <row r="31" spans="1:5" ht="25.5" outlineLevel="2">
      <c r="A31" s="8" t="s">
        <v>915</v>
      </c>
      <c r="B31" s="29" t="s">
        <v>1960</v>
      </c>
      <c r="C31" s="7" t="s">
        <v>914</v>
      </c>
      <c r="D31" s="31">
        <v>4545.6</v>
      </c>
      <c r="E31" s="46"/>
    </row>
    <row r="32" spans="1:5" ht="12.75" outlineLevel="2">
      <c r="A32" s="8" t="s">
        <v>1719</v>
      </c>
      <c r="B32" s="29" t="s">
        <v>1961</v>
      </c>
      <c r="C32" s="8" t="s">
        <v>775</v>
      </c>
      <c r="D32" s="31">
        <v>965.95</v>
      </c>
      <c r="E32" s="46"/>
    </row>
    <row r="33" spans="1:5" ht="12.75" outlineLevel="2">
      <c r="A33" s="55" t="s">
        <v>1410</v>
      </c>
      <c r="B33" s="52" t="s">
        <v>1961</v>
      </c>
      <c r="C33" s="55" t="s">
        <v>1411</v>
      </c>
      <c r="D33" s="31">
        <v>1739</v>
      </c>
      <c r="E33" s="46"/>
    </row>
    <row r="34" spans="1:5" ht="25.5" outlineLevel="2">
      <c r="A34" s="55" t="s">
        <v>1447</v>
      </c>
      <c r="B34" s="52" t="s">
        <v>1961</v>
      </c>
      <c r="C34" s="55" t="s">
        <v>1448</v>
      </c>
      <c r="D34" s="31">
        <v>43408</v>
      </c>
      <c r="E34" s="46"/>
    </row>
    <row r="35" spans="1:5" ht="12.75" outlineLevel="1">
      <c r="A35" s="117" t="s">
        <v>1342</v>
      </c>
      <c r="B35" s="118"/>
      <c r="C35" s="119"/>
      <c r="D35" s="28">
        <f>SUM(D36:D38)</f>
        <v>44537</v>
      </c>
      <c r="E35" s="46"/>
    </row>
    <row r="36" spans="1:5" ht="12.75" outlineLevel="2">
      <c r="A36" s="7" t="s">
        <v>850</v>
      </c>
      <c r="B36" s="29" t="s">
        <v>849</v>
      </c>
      <c r="C36" s="7" t="s">
        <v>851</v>
      </c>
      <c r="D36" s="30">
        <v>2259</v>
      </c>
      <c r="E36" s="46"/>
    </row>
    <row r="37" spans="1:5" ht="12.75" outlineLevel="2">
      <c r="A37" s="7" t="s">
        <v>652</v>
      </c>
      <c r="B37" s="29" t="s">
        <v>1951</v>
      </c>
      <c r="C37" s="7" t="s">
        <v>651</v>
      </c>
      <c r="D37" s="30">
        <v>32663</v>
      </c>
      <c r="E37" s="46"/>
    </row>
    <row r="38" spans="1:5" ht="12.75" outlineLevel="2">
      <c r="A38" s="7" t="s">
        <v>2455</v>
      </c>
      <c r="B38" s="29" t="s">
        <v>1953</v>
      </c>
      <c r="C38" s="7" t="s">
        <v>2456</v>
      </c>
      <c r="D38" s="30">
        <v>9615</v>
      </c>
      <c r="E38" s="46"/>
    </row>
    <row r="39" spans="1:5" ht="12.75" outlineLevel="1">
      <c r="A39" s="117" t="s">
        <v>1344</v>
      </c>
      <c r="B39" s="118"/>
      <c r="C39" s="119"/>
      <c r="D39" s="28">
        <f>SUM(D40:D51)</f>
        <v>215473.47999999998</v>
      </c>
      <c r="E39" s="46"/>
    </row>
    <row r="40" spans="1:5" ht="12.75" outlineLevel="2">
      <c r="A40" s="7"/>
      <c r="B40" s="29" t="s">
        <v>849</v>
      </c>
      <c r="C40" s="7" t="s">
        <v>1965</v>
      </c>
      <c r="D40" s="30">
        <f>4076.48+3560.47+2115.64+5005.3+2167.27+1341.63</f>
        <v>18266.79</v>
      </c>
      <c r="E40" s="46"/>
    </row>
    <row r="41" spans="1:5" ht="12.75" outlineLevel="2">
      <c r="A41" s="7"/>
      <c r="B41" s="29" t="s">
        <v>1951</v>
      </c>
      <c r="C41" s="7" t="s">
        <v>1965</v>
      </c>
      <c r="D41" s="30">
        <f>4076.48+3560.47+2115.64+5005.3+2167.24+1341.63</f>
        <v>18266.76</v>
      </c>
      <c r="E41" s="46"/>
    </row>
    <row r="42" spans="1:5" ht="12.75" outlineLevel="2">
      <c r="A42" s="7"/>
      <c r="B42" s="29" t="s">
        <v>1952</v>
      </c>
      <c r="C42" s="7" t="s">
        <v>1965</v>
      </c>
      <c r="D42" s="30">
        <f>4076.48+2848.38+2115.64+5005.3+2167.24+1341.63+309.61</f>
        <v>17864.28</v>
      </c>
      <c r="E42" s="46"/>
    </row>
    <row r="43" spans="1:5" ht="12.75" outlineLevel="2">
      <c r="A43" s="7"/>
      <c r="B43" s="29" t="s">
        <v>1953</v>
      </c>
      <c r="C43" s="7" t="s">
        <v>1965</v>
      </c>
      <c r="D43" s="30">
        <f>4076.48+3147.66+5767.96+1671.87+1341.63+309.61</f>
        <v>16315.21</v>
      </c>
      <c r="E43" s="46"/>
    </row>
    <row r="44" spans="1:5" ht="12.75" outlineLevel="2">
      <c r="A44" s="7"/>
      <c r="B44" s="29" t="s">
        <v>1954</v>
      </c>
      <c r="C44" s="7" t="s">
        <v>1965</v>
      </c>
      <c r="D44" s="30">
        <f>4076.48+2734.85+7017.74+1909.24+1290.03+309.61</f>
        <v>17337.95</v>
      </c>
      <c r="E44" s="46"/>
    </row>
    <row r="45" spans="1:5" ht="12.75" outlineLevel="2">
      <c r="A45" s="7"/>
      <c r="B45" s="29" t="s">
        <v>1955</v>
      </c>
      <c r="C45" s="7" t="s">
        <v>1965</v>
      </c>
      <c r="D45" s="30">
        <f>2038.24+1367.43+3560.47+954.62+645.01+1825.62</f>
        <v>10391.39</v>
      </c>
      <c r="E45" s="46"/>
    </row>
    <row r="46" spans="1:5" ht="12.75" outlineLevel="2">
      <c r="A46" s="7"/>
      <c r="B46" s="29" t="s">
        <v>1956</v>
      </c>
      <c r="C46" s="7" t="s">
        <v>1965</v>
      </c>
      <c r="D46" s="30">
        <f>4540.89+3044.46+7946.55+2115.64+1444.83</f>
        <v>19092.370000000003</v>
      </c>
      <c r="E46" s="46"/>
    </row>
    <row r="47" spans="1:5" ht="12.75" outlineLevel="2">
      <c r="A47" s="7"/>
      <c r="B47" s="29" t="s">
        <v>1957</v>
      </c>
      <c r="C47" s="7" t="s">
        <v>1965</v>
      </c>
      <c r="D47" s="30">
        <f>4540.89+3044.46+7946.55+2115.64+1444.83</f>
        <v>19092.370000000003</v>
      </c>
      <c r="E47" s="46"/>
    </row>
    <row r="48" spans="1:5" ht="12.75" outlineLevel="2">
      <c r="A48" s="7"/>
      <c r="B48" s="29" t="s">
        <v>1958</v>
      </c>
      <c r="C48" s="7" t="s">
        <v>1965</v>
      </c>
      <c r="D48" s="30">
        <f>4540.89+3044.46+7946.55+2115.64+1444.83</f>
        <v>19092.370000000003</v>
      </c>
      <c r="E48" s="46"/>
    </row>
    <row r="49" spans="1:5" ht="12.75" outlineLevel="2">
      <c r="A49" s="7"/>
      <c r="B49" s="29" t="s">
        <v>1959</v>
      </c>
      <c r="C49" s="7" t="s">
        <v>1965</v>
      </c>
      <c r="D49" s="30">
        <f>4540.89+3044.46+7946.55+2115.64+1444.83</f>
        <v>19092.370000000003</v>
      </c>
      <c r="E49" s="46"/>
    </row>
    <row r="50" spans="1:5" ht="12.75" outlineLevel="2">
      <c r="A50" s="7"/>
      <c r="B50" s="29" t="s">
        <v>1960</v>
      </c>
      <c r="C50" s="7" t="s">
        <v>1965</v>
      </c>
      <c r="D50" s="30">
        <f>4540.89+3973.28+2373.65+5572.91+2425.25+1444.83</f>
        <v>20330.809999999998</v>
      </c>
      <c r="E50" s="46"/>
    </row>
    <row r="51" spans="1:5" ht="12.75" outlineLevel="2">
      <c r="A51" s="11"/>
      <c r="B51" s="29" t="s">
        <v>1961</v>
      </c>
      <c r="C51" s="7" t="s">
        <v>1965</v>
      </c>
      <c r="D51" s="30">
        <f>4540.89+3973.28+2373.65+5572.91+2425.25+1444.83</f>
        <v>20330.809999999998</v>
      </c>
      <c r="E51" s="46"/>
    </row>
    <row r="52" spans="1:5" ht="12.75" outlineLevel="1">
      <c r="A52" s="117" t="s">
        <v>1346</v>
      </c>
      <c r="B52" s="118"/>
      <c r="C52" s="119"/>
      <c r="D52" s="28">
        <f>SUM(D53:D57)</f>
        <v>5454.07</v>
      </c>
      <c r="E52" s="46"/>
    </row>
    <row r="53" spans="1:5" ht="12.75" outlineLevel="2">
      <c r="A53" s="7" t="s">
        <v>1976</v>
      </c>
      <c r="B53" s="29" t="s">
        <v>849</v>
      </c>
      <c r="C53" s="7" t="s">
        <v>1975</v>
      </c>
      <c r="D53" s="30">
        <v>731.25</v>
      </c>
      <c r="E53" s="46"/>
    </row>
    <row r="54" spans="1:5" ht="12.75" outlineLevel="2">
      <c r="A54" s="7" t="s">
        <v>1971</v>
      </c>
      <c r="B54" s="29" t="s">
        <v>849</v>
      </c>
      <c r="C54" s="7" t="s">
        <v>2190</v>
      </c>
      <c r="D54" s="30">
        <v>905.66</v>
      </c>
      <c r="E54" s="46"/>
    </row>
    <row r="55" spans="1:5" ht="12.75" outlineLevel="2">
      <c r="A55" s="51" t="s">
        <v>2195</v>
      </c>
      <c r="B55" s="52" t="s">
        <v>849</v>
      </c>
      <c r="C55" s="51" t="s">
        <v>2190</v>
      </c>
      <c r="D55" s="30">
        <v>905.66</v>
      </c>
      <c r="E55" s="46"/>
    </row>
    <row r="56" spans="1:5" ht="12.75" outlineLevel="2">
      <c r="A56" s="7" t="s">
        <v>2362</v>
      </c>
      <c r="B56" s="29" t="s">
        <v>1952</v>
      </c>
      <c r="C56" s="7" t="s">
        <v>2361</v>
      </c>
      <c r="D56" s="30">
        <v>58.5</v>
      </c>
      <c r="E56" s="46"/>
    </row>
    <row r="57" spans="1:5" ht="12.75" outlineLevel="2">
      <c r="A57" s="7" t="s">
        <v>711</v>
      </c>
      <c r="B57" s="29" t="s">
        <v>1957</v>
      </c>
      <c r="C57" s="7" t="s">
        <v>709</v>
      </c>
      <c r="D57" s="30">
        <v>2853</v>
      </c>
      <c r="E57" s="46"/>
    </row>
    <row r="58" spans="1:5" ht="12.75" outlineLevel="1">
      <c r="A58" s="117" t="s">
        <v>1341</v>
      </c>
      <c r="B58" s="118"/>
      <c r="C58" s="119"/>
      <c r="D58" s="28">
        <f>SUM(D59:D68)</f>
        <v>9011.79</v>
      </c>
      <c r="E58" s="46"/>
    </row>
    <row r="59" spans="1:5" ht="12.75" outlineLevel="2">
      <c r="A59" s="7" t="s">
        <v>131</v>
      </c>
      <c r="B59" s="29" t="s">
        <v>849</v>
      </c>
      <c r="C59" s="7" t="s">
        <v>1881</v>
      </c>
      <c r="D59" s="30">
        <v>2111</v>
      </c>
      <c r="E59" s="46"/>
    </row>
    <row r="60" spans="1:5" ht="12.75" outlineLevel="2">
      <c r="A60" s="7" t="s">
        <v>1731</v>
      </c>
      <c r="B60" s="29" t="s">
        <v>849</v>
      </c>
      <c r="C60" s="7" t="s">
        <v>1732</v>
      </c>
      <c r="D60" s="30">
        <v>730</v>
      </c>
      <c r="E60" s="46"/>
    </row>
    <row r="61" spans="1:5" ht="12.75" outlineLevel="2">
      <c r="A61" s="7" t="s">
        <v>1784</v>
      </c>
      <c r="B61" s="29" t="s">
        <v>849</v>
      </c>
      <c r="C61" s="7" t="s">
        <v>1882</v>
      </c>
      <c r="D61" s="30">
        <v>357</v>
      </c>
      <c r="E61" s="46"/>
    </row>
    <row r="62" spans="1:5" ht="12.75" outlineLevel="2">
      <c r="A62" s="7" t="s">
        <v>1907</v>
      </c>
      <c r="B62" s="29" t="s">
        <v>849</v>
      </c>
      <c r="C62" s="7" t="s">
        <v>1908</v>
      </c>
      <c r="D62" s="30">
        <v>223</v>
      </c>
      <c r="E62" s="46"/>
    </row>
    <row r="63" spans="1:5" ht="12.75" outlineLevel="2">
      <c r="A63" s="7" t="s">
        <v>533</v>
      </c>
      <c r="B63" s="29" t="s">
        <v>1952</v>
      </c>
      <c r="C63" s="7" t="s">
        <v>535</v>
      </c>
      <c r="D63" s="30">
        <v>1544</v>
      </c>
      <c r="E63" s="46"/>
    </row>
    <row r="64" spans="1:5" ht="12.75" outlineLevel="2">
      <c r="A64" s="7" t="s">
        <v>2684</v>
      </c>
      <c r="B64" s="29" t="s">
        <v>1954</v>
      </c>
      <c r="C64" s="7" t="s">
        <v>2685</v>
      </c>
      <c r="D64" s="30">
        <v>681</v>
      </c>
      <c r="E64" s="46"/>
    </row>
    <row r="65" spans="1:5" ht="12.75" outlineLevel="2">
      <c r="A65" s="7" t="s">
        <v>1280</v>
      </c>
      <c r="B65" s="29" t="s">
        <v>1954</v>
      </c>
      <c r="C65" s="7" t="s">
        <v>1283</v>
      </c>
      <c r="D65" s="30">
        <v>288</v>
      </c>
      <c r="E65" s="46"/>
    </row>
    <row r="66" spans="1:5" ht="12.75" outlineLevel="2">
      <c r="A66" s="54" t="s">
        <v>2029</v>
      </c>
      <c r="B66" s="29" t="s">
        <v>1960</v>
      </c>
      <c r="C66" s="7" t="s">
        <v>2031</v>
      </c>
      <c r="D66" s="30">
        <v>664.27</v>
      </c>
      <c r="E66" s="46"/>
    </row>
    <row r="67" spans="1:5" ht="12.75" outlineLevel="2">
      <c r="A67" s="7" t="s">
        <v>91</v>
      </c>
      <c r="B67" s="29" t="s">
        <v>1960</v>
      </c>
      <c r="C67" s="7" t="s">
        <v>99</v>
      </c>
      <c r="D67" s="30">
        <v>1743.03</v>
      </c>
      <c r="E67" s="46"/>
    </row>
    <row r="68" spans="1:5" ht="12.75" outlineLevel="2">
      <c r="A68" s="7" t="s">
        <v>244</v>
      </c>
      <c r="B68" s="29" t="s">
        <v>1960</v>
      </c>
      <c r="C68" s="7" t="s">
        <v>245</v>
      </c>
      <c r="D68" s="30">
        <v>670.49</v>
      </c>
      <c r="E68" s="46"/>
    </row>
    <row r="69" spans="1:5" ht="12.75" outlineLevel="1">
      <c r="A69" s="117" t="s">
        <v>1347</v>
      </c>
      <c r="B69" s="118"/>
      <c r="C69" s="119"/>
      <c r="D69" s="28">
        <f>SUM(D70:D70)</f>
        <v>3614.18</v>
      </c>
      <c r="E69" s="46"/>
    </row>
    <row r="70" spans="1:5" ht="12.75" outlineLevel="2">
      <c r="A70" s="11"/>
      <c r="B70" s="29"/>
      <c r="C70" s="7" t="s">
        <v>239</v>
      </c>
      <c r="D70" s="30">
        <f>3614.18</f>
        <v>3614.18</v>
      </c>
      <c r="E70" s="46"/>
    </row>
    <row r="71" spans="1:5" ht="12.75">
      <c r="A71" s="117" t="s">
        <v>1348</v>
      </c>
      <c r="B71" s="118"/>
      <c r="C71" s="119"/>
      <c r="D71" s="32">
        <f>SUM(D72:D74)</f>
        <v>12696.5</v>
      </c>
      <c r="E71" s="46"/>
    </row>
    <row r="72" spans="1:5" ht="25.5" outlineLevel="1">
      <c r="A72" s="51" t="s">
        <v>2236</v>
      </c>
      <c r="B72" s="29" t="s">
        <v>1952</v>
      </c>
      <c r="C72" s="7" t="s">
        <v>2397</v>
      </c>
      <c r="D72" s="30">
        <v>1260</v>
      </c>
      <c r="E72" s="46"/>
    </row>
    <row r="73" spans="1:5" ht="12.75" outlineLevel="2">
      <c r="A73" s="7" t="s">
        <v>957</v>
      </c>
      <c r="B73" s="29" t="s">
        <v>1960</v>
      </c>
      <c r="C73" s="7" t="s">
        <v>958</v>
      </c>
      <c r="D73" s="30">
        <v>6084</v>
      </c>
      <c r="E73" s="46"/>
    </row>
    <row r="74" spans="1:5" ht="25.5" outlineLevel="1">
      <c r="A74" s="7" t="s">
        <v>1582</v>
      </c>
      <c r="B74" s="29" t="s">
        <v>1961</v>
      </c>
      <c r="C74" s="7" t="s">
        <v>1583</v>
      </c>
      <c r="D74" s="30">
        <v>5352.5</v>
      </c>
      <c r="E74" s="46"/>
    </row>
    <row r="75" spans="1:6" ht="12.75">
      <c r="A75" s="6">
        <v>5160.2</v>
      </c>
      <c r="B75" s="6" t="s">
        <v>1356</v>
      </c>
      <c r="C75" s="37" t="s">
        <v>1345</v>
      </c>
      <c r="D75" s="23">
        <f>(5160.2*6*1.46)+(5160.2*6*1.63)</f>
        <v>95670.10799999998</v>
      </c>
      <c r="E75" s="46"/>
      <c r="F75" s="37" t="s">
        <v>1352</v>
      </c>
    </row>
    <row r="76" spans="1:6" ht="13.5" thickBot="1">
      <c r="A76" s="6">
        <v>5160.2</v>
      </c>
      <c r="B76" s="6" t="s">
        <v>1356</v>
      </c>
      <c r="C76" s="37" t="s">
        <v>1357</v>
      </c>
      <c r="D76" s="23">
        <f>(5160.2*6*0.1)+(5160.2*6*0.11)</f>
        <v>6501.851999999999</v>
      </c>
      <c r="E76" s="46"/>
      <c r="F76" s="37" t="s">
        <v>1351</v>
      </c>
    </row>
    <row r="77" spans="1:6" ht="12.75" customHeight="1" thickTop="1">
      <c r="A77" s="132" t="s">
        <v>1361</v>
      </c>
      <c r="B77" s="133"/>
      <c r="C77" s="134"/>
      <c r="D77" s="76">
        <f>(5160.2*6*0.94)+(5160.2*6*1.03)</f>
        <v>60993.56399999999</v>
      </c>
      <c r="E77" s="48"/>
      <c r="F77" s="14" t="s">
        <v>787</v>
      </c>
    </row>
    <row r="78" spans="1:6" ht="12.75" customHeight="1">
      <c r="A78" s="125" t="s">
        <v>1350</v>
      </c>
      <c r="B78" s="126"/>
      <c r="C78" s="127"/>
      <c r="D78" s="76">
        <f>(5160.2*6*1.57)+(5160.2*6*1.75)</f>
        <v>102791.18399999998</v>
      </c>
      <c r="E78" s="48"/>
      <c r="F78" s="14" t="s">
        <v>788</v>
      </c>
    </row>
    <row r="79" spans="1:6" ht="12.75" customHeight="1">
      <c r="A79" s="125" t="s">
        <v>1362</v>
      </c>
      <c r="B79" s="126"/>
      <c r="C79" s="127"/>
      <c r="D79" s="16">
        <f>10.3*(D81+D82)/100</f>
        <v>144491.43746999998</v>
      </c>
      <c r="E79" s="48"/>
      <c r="F79" s="14" t="s">
        <v>789</v>
      </c>
    </row>
    <row r="80" spans="1:6" ht="12.75" customHeight="1">
      <c r="A80" s="120" t="s">
        <v>1363</v>
      </c>
      <c r="B80" s="121"/>
      <c r="C80" s="122"/>
      <c r="D80" s="41">
        <f>D79+D78+D77+D7+D3</f>
        <v>1071574.8154699998</v>
      </c>
      <c r="E80" s="48">
        <v>1</v>
      </c>
      <c r="F80" s="14" t="s">
        <v>790</v>
      </c>
    </row>
    <row r="81" spans="1:6" ht="12.75" customHeight="1">
      <c r="A81" s="114" t="s">
        <v>1364</v>
      </c>
      <c r="B81" s="115"/>
      <c r="C81" s="116"/>
      <c r="D81" s="18">
        <v>1232508.38</v>
      </c>
      <c r="E81" s="48">
        <v>2</v>
      </c>
      <c r="F81" s="27"/>
    </row>
    <row r="82" spans="1:6" ht="12.75" customHeight="1">
      <c r="A82" s="114" t="s">
        <v>1365</v>
      </c>
      <c r="B82" s="115"/>
      <c r="C82" s="116"/>
      <c r="D82" s="18">
        <v>170321.11</v>
      </c>
      <c r="E82" s="48">
        <v>3</v>
      </c>
      <c r="F82" s="37" t="s">
        <v>1352</v>
      </c>
    </row>
    <row r="83" spans="1:6" ht="12.75" customHeight="1">
      <c r="A83" s="114" t="s">
        <v>2221</v>
      </c>
      <c r="B83" s="115"/>
      <c r="C83" s="116"/>
      <c r="D83" s="19">
        <f>1339930.79+D81</f>
        <v>2572439.17</v>
      </c>
      <c r="E83" s="48">
        <v>4</v>
      </c>
      <c r="F83" s="37" t="s">
        <v>791</v>
      </c>
    </row>
    <row r="84" spans="1:6" ht="13.5" customHeight="1">
      <c r="A84" s="114" t="s">
        <v>2222</v>
      </c>
      <c r="B84" s="115"/>
      <c r="C84" s="116"/>
      <c r="D84" s="19">
        <f>819217.33+D89</f>
        <v>1727630.0299999998</v>
      </c>
      <c r="E84" s="48">
        <v>5</v>
      </c>
      <c r="F84" s="14" t="s">
        <v>843</v>
      </c>
    </row>
    <row r="85" spans="1:6" ht="25.5" customHeight="1">
      <c r="A85" s="120" t="s">
        <v>2223</v>
      </c>
      <c r="B85" s="121"/>
      <c r="C85" s="122"/>
      <c r="D85" s="42">
        <f>1041561.64+D80</f>
        <v>2113136.45547</v>
      </c>
      <c r="E85" s="48">
        <v>6</v>
      </c>
      <c r="F85" s="14" t="s">
        <v>844</v>
      </c>
    </row>
    <row r="86" spans="1:6" ht="12.75" customHeight="1">
      <c r="A86" s="114" t="s">
        <v>2224</v>
      </c>
      <c r="B86" s="115"/>
      <c r="C86" s="116"/>
      <c r="D86" s="19">
        <f>185020.4+D82</f>
        <v>355341.51</v>
      </c>
      <c r="E86" s="48">
        <v>7</v>
      </c>
      <c r="F86" s="14" t="s">
        <v>845</v>
      </c>
    </row>
    <row r="87" spans="1:6" ht="12.75" customHeight="1">
      <c r="A87" s="114" t="s">
        <v>2225</v>
      </c>
      <c r="B87" s="115"/>
      <c r="C87" s="116"/>
      <c r="D87" s="19">
        <f>113068.1+D90</f>
        <v>238602.22</v>
      </c>
      <c r="E87" s="48">
        <v>8</v>
      </c>
      <c r="F87" s="14" t="s">
        <v>787</v>
      </c>
    </row>
    <row r="88" spans="1:6" ht="12.75" customHeight="1">
      <c r="A88" s="140" t="s">
        <v>2226</v>
      </c>
      <c r="B88" s="141"/>
      <c r="C88" s="142"/>
      <c r="D88" s="42">
        <v>0</v>
      </c>
      <c r="E88" s="48">
        <v>9</v>
      </c>
      <c r="F88" s="14" t="s">
        <v>846</v>
      </c>
    </row>
    <row r="89" spans="1:6" ht="12.75" customHeight="1">
      <c r="A89" s="114" t="s">
        <v>779</v>
      </c>
      <c r="B89" s="115"/>
      <c r="C89" s="116"/>
      <c r="D89" s="18">
        <v>908412.7</v>
      </c>
      <c r="E89" s="48">
        <v>10</v>
      </c>
      <c r="F89" s="14" t="s">
        <v>847</v>
      </c>
    </row>
    <row r="90" spans="1:6" ht="12.75" customHeight="1">
      <c r="A90" s="114" t="s">
        <v>780</v>
      </c>
      <c r="B90" s="143"/>
      <c r="C90" s="116"/>
      <c r="D90" s="18">
        <v>125534.12</v>
      </c>
      <c r="E90" s="48">
        <v>11</v>
      </c>
      <c r="F90" s="14" t="s">
        <v>848</v>
      </c>
    </row>
    <row r="91" spans="1:6" ht="12.75" customHeight="1">
      <c r="A91" s="120" t="s">
        <v>781</v>
      </c>
      <c r="B91" s="121"/>
      <c r="C91" s="122"/>
      <c r="D91" s="41">
        <v>0</v>
      </c>
      <c r="E91" s="48">
        <v>12</v>
      </c>
      <c r="F91" s="43"/>
    </row>
    <row r="92" spans="1:6" ht="27" customHeight="1">
      <c r="A92" s="108" t="s">
        <v>782</v>
      </c>
      <c r="B92" s="109"/>
      <c r="C92" s="110"/>
      <c r="D92" s="26">
        <f>D83-D85</f>
        <v>459302.71453</v>
      </c>
      <c r="E92" s="48">
        <v>13</v>
      </c>
      <c r="F92" s="43"/>
    </row>
    <row r="93" spans="1:6" ht="25.5" customHeight="1">
      <c r="A93" s="108" t="s">
        <v>783</v>
      </c>
      <c r="B93" s="109"/>
      <c r="C93" s="110"/>
      <c r="D93" s="26">
        <f>D86-D88</f>
        <v>355341.51</v>
      </c>
      <c r="E93" s="48">
        <v>14</v>
      </c>
      <c r="F93" s="43"/>
    </row>
    <row r="94" spans="1:6" ht="25.5" customHeight="1">
      <c r="A94" s="108" t="s">
        <v>718</v>
      </c>
      <c r="B94" s="109"/>
      <c r="C94" s="110"/>
      <c r="D94" s="26">
        <f>D84-D85</f>
        <v>-385506.42547000013</v>
      </c>
      <c r="E94" s="48">
        <v>15</v>
      </c>
      <c r="F94" s="43"/>
    </row>
    <row r="95" ht="12.75">
      <c r="F95" s="43"/>
    </row>
  </sheetData>
  <sheetProtection/>
  <mergeCells count="29">
    <mergeCell ref="A35:C35"/>
    <mergeCell ref="A39:C39"/>
    <mergeCell ref="A52:C52"/>
    <mergeCell ref="A93:C93"/>
    <mergeCell ref="A87:C87"/>
    <mergeCell ref="A88:C88"/>
    <mergeCell ref="A79:C79"/>
    <mergeCell ref="A80:C80"/>
    <mergeCell ref="A83:C83"/>
    <mergeCell ref="A84:C84"/>
    <mergeCell ref="A94:C94"/>
    <mergeCell ref="A89:C89"/>
    <mergeCell ref="A90:C90"/>
    <mergeCell ref="A91:C91"/>
    <mergeCell ref="A92:C92"/>
    <mergeCell ref="A81:C81"/>
    <mergeCell ref="A82:C82"/>
    <mergeCell ref="A85:C85"/>
    <mergeCell ref="A86:C86"/>
    <mergeCell ref="A1:D1"/>
    <mergeCell ref="A77:C77"/>
    <mergeCell ref="A78:C78"/>
    <mergeCell ref="A3:C3"/>
    <mergeCell ref="A4:C4"/>
    <mergeCell ref="A71:C71"/>
    <mergeCell ref="A7:C7"/>
    <mergeCell ref="A8:C8"/>
    <mergeCell ref="A58:C58"/>
    <mergeCell ref="A69:C69"/>
  </mergeCells>
  <printOptions/>
  <pageMargins left="0.2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2013-03-21T05:34:08Z</cp:lastPrinted>
  <dcterms:created xsi:type="dcterms:W3CDTF">1996-10-08T23:32:33Z</dcterms:created>
  <dcterms:modified xsi:type="dcterms:W3CDTF">2013-03-26T03:24:53Z</dcterms:modified>
  <cp:category/>
  <cp:version/>
  <cp:contentType/>
  <cp:contentStatus/>
</cp:coreProperties>
</file>